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https://hntb-my.sharepoint.com/personal/estone_hntb_com/Documents/Projects/MI Ancillary Structures/Traffic Signals/Design Tools/"/>
    </mc:Choice>
  </mc:AlternateContent>
  <xr:revisionPtr revIDLastSave="67" documentId="13_ncr:1_{7DAD485E-90BA-48BC-9138-21C923ABF3B9}" xr6:coauthVersionLast="47" xr6:coauthVersionMax="47" xr10:uidLastSave="{6DE0D51B-59D5-475C-BA11-60718927F5EB}"/>
  <workbookProtection workbookAlgorithmName="SHA-512" workbookHashValue="3KO8wwmODncE5KVBrEKO41gPY3MdqCsN+JIunKpC9PiJAicWNL0rrP/KWIFSdZtsOEbUVIq8/zbVV+1JAG9E6w==" workbookSaltValue="DBlE4nTNrAa2jcFKbPDseQ==" workbookSpinCount="100000" lockStructure="1"/>
  <bookViews>
    <workbookView xWindow="2730" yWindow="2730" windowWidth="21600" windowHeight="11385" tabRatio="765" activeTab="1" xr2:uid="{00000000-000D-0000-FFFF-FFFF00000000}"/>
  </bookViews>
  <sheets>
    <sheet name="Preamble" sheetId="49" r:id="rId1"/>
    <sheet name="Change Log" sheetId="50" r:id="rId2"/>
    <sheet name="Instructions" sheetId="37" r:id="rId3"/>
    <sheet name="Mast Arm 1 Design" sheetId="1" r:id="rId4"/>
    <sheet name="Mast Arm 2 Design" sheetId="44" r:id="rId5"/>
    <sheet name="Mast Arm Pole Design" sheetId="42" r:id="rId6"/>
    <sheet name="Results" sheetId="45" r:id="rId7"/>
    <sheet name="Mast Arm Geometry Tables" sheetId="48" state="hidden" r:id="rId8"/>
    <sheet name="Mast Arm Load Table" sheetId="46" state="hidden" r:id="rId9"/>
    <sheet name="Mast Arm Capacity" sheetId="52" state="hidden" r:id="rId10"/>
    <sheet name="Pole Load Table" sheetId="51" state="hidden" r:id="rId11"/>
    <sheet name="Mast Arm Pole Capacities" sheetId="53" state="hidden" r:id="rId12"/>
    <sheet name="Graph Values" sheetId="41" state="hidden" r:id="rId13"/>
    <sheet name="Equipment Wt &amp; Ht" sheetId="15" state="hidden" r:id="rId14"/>
  </sheets>
  <externalReferences>
    <externalReference r:id="rId15"/>
    <externalReference r:id="rId16"/>
  </externalReferences>
  <definedNames>
    <definedName name="_xlnm._FilterDatabase" localSheetId="13" hidden="1">'Equipment Wt &amp; Ht'!$A$3:$L$3</definedName>
    <definedName name="ClayNames">[1]Calculations!$D$24:$D$26</definedName>
    <definedName name="Excel_BuiltIn__FilterDatabase">'Equipment Wt &amp; Ht'!$A$3:$A$30</definedName>
    <definedName name="Heads" localSheetId="1">'[2]Equipment Wt &amp; Ht'!$A$3:$A$50</definedName>
    <definedName name="Heads" localSheetId="0">'[2]Equipment Wt &amp; Ht'!$A$3:$A$50</definedName>
    <definedName name="Heads">'Equipment Wt &amp; Ht'!$A$3:$A$30</definedName>
    <definedName name="HeadsWindArea" localSheetId="1">'[2]Equipment Wt &amp; Ht'!$H$3:$H$50</definedName>
    <definedName name="HeadsWindArea">'[2]Equipment Wt &amp; Ht'!$H$3:$H$50</definedName>
    <definedName name="HeadTypes">'Equipment Wt &amp; Ht'!#REF!</definedName>
    <definedName name="Parts" localSheetId="1">'[2]Equipment Wt &amp; Ht'!$D$55:$D$96</definedName>
    <definedName name="Parts" localSheetId="0">'[2]Equipment Wt &amp; Ht'!$D$55:$D$95</definedName>
    <definedName name="Parts">'Equipment Wt &amp; Ht'!#REF!</definedName>
    <definedName name="PartsWindArea" localSheetId="1">'[2]Equipment Wt &amp; Ht'!$H$55:$H$96</definedName>
    <definedName name="PartsWindArea">'[2]Equipment Wt &amp; Ht'!$H$55:$H$95</definedName>
    <definedName name="PoleHeight">[1]Calculations!$D$12:$D$14</definedName>
    <definedName name="_xlnm.Print_Area" localSheetId="1">'Change Log'!$A$1:$J$37</definedName>
    <definedName name="_xlnm.Print_Area" localSheetId="2">Instructions!$A$1:$O$36</definedName>
    <definedName name="_xlnm.Print_Area" localSheetId="3">'Mast Arm 1 Design'!$A$1:$O$47</definedName>
    <definedName name="_xlnm.Print_Area" localSheetId="4">'Mast Arm 2 Design'!$A$1:$O$47</definedName>
    <definedName name="_xlnm.Print_Area" localSheetId="5">'Mast Arm Pole Design'!$A$1:$N$27</definedName>
    <definedName name="_xlnm.Print_Area" localSheetId="0">Preamble!$A$1:$J$35</definedName>
    <definedName name="_xlnm.Print_Area" localSheetId="6">Results!$A$1:$O$51</definedName>
    <definedName name="SandNames">[1]Calculations!$B$24:$B$26</definedName>
    <definedName name="SoilType">[1]Calculations!$F$12:$F$17</definedName>
    <definedName name="SpanConfigurations">[2]!Table3[Diagonal Simple Span]</definedName>
    <definedName name="TetherConditions">[2]!TetherCondition[Tether Condition]</definedName>
    <definedName name="Tethering">[1]Calculations!$H$11:$H$12</definedName>
    <definedName name="Types">'Equipment Wt &amp; Ht'!$A$3:$A$30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63" i="42" l="1"/>
  <c r="BD63" i="42"/>
  <c r="BE63" i="42"/>
  <c r="BF63" i="42"/>
  <c r="BG63" i="42"/>
  <c r="BH63" i="42"/>
  <c r="BN63" i="42"/>
  <c r="BO63" i="42"/>
  <c r="BP63" i="42"/>
  <c r="BQ63" i="42"/>
  <c r="BR63" i="42"/>
  <c r="BS63" i="42"/>
  <c r="AR63" i="42"/>
  <c r="AS63" i="42"/>
  <c r="AT63" i="42"/>
  <c r="AU63" i="42"/>
  <c r="AV63" i="42"/>
  <c r="AW63" i="42"/>
  <c r="AG63" i="42"/>
  <c r="AH63" i="42"/>
  <c r="AI63" i="42"/>
  <c r="AJ63" i="42"/>
  <c r="AK63" i="42"/>
  <c r="AL63" i="42"/>
  <c r="AA63" i="42"/>
  <c r="V63" i="42"/>
  <c r="W63" i="42"/>
  <c r="X63" i="42"/>
  <c r="Y63" i="42"/>
  <c r="Z63" i="42"/>
  <c r="P63" i="42"/>
  <c r="K63" i="42"/>
  <c r="L63" i="42"/>
  <c r="M63" i="42"/>
  <c r="N63" i="42"/>
  <c r="O63" i="42"/>
  <c r="C16" i="53"/>
  <c r="BS78" i="44"/>
  <c r="BR78" i="44"/>
  <c r="BQ78" i="44"/>
  <c r="BP78" i="44"/>
  <c r="BO78" i="44"/>
  <c r="BN78" i="44"/>
  <c r="BM78" i="44"/>
  <c r="BL78" i="44"/>
  <c r="BK78" i="44"/>
  <c r="BJ78" i="44"/>
  <c r="BI78" i="44"/>
  <c r="BH78" i="44"/>
  <c r="BG78" i="44"/>
  <c r="BF78" i="44"/>
  <c r="BE78" i="44"/>
  <c r="BD78" i="44"/>
  <c r="BC78" i="44"/>
  <c r="BB78" i="44"/>
  <c r="BA78" i="44"/>
  <c r="AZ78" i="44"/>
  <c r="AY78" i="44"/>
  <c r="AX78" i="44"/>
  <c r="AW78" i="44"/>
  <c r="AV78" i="44"/>
  <c r="AU78" i="44"/>
  <c r="AT78" i="44"/>
  <c r="AS78" i="44"/>
  <c r="AR78" i="44"/>
  <c r="AQ78" i="44"/>
  <c r="AP78" i="44"/>
  <c r="AO78" i="44"/>
  <c r="AN78" i="44"/>
  <c r="AM78" i="44"/>
  <c r="AL78" i="44"/>
  <c r="AK78" i="44"/>
  <c r="AJ78" i="44"/>
  <c r="AI78" i="44"/>
  <c r="AH78" i="44"/>
  <c r="AG78" i="44"/>
  <c r="AF78" i="44"/>
  <c r="AE78" i="44"/>
  <c r="AD78" i="44"/>
  <c r="AC78" i="44"/>
  <c r="AB78" i="44"/>
  <c r="AA78" i="44"/>
  <c r="Z78" i="44"/>
  <c r="Y78" i="44"/>
  <c r="X78" i="44"/>
  <c r="W78" i="44"/>
  <c r="V78" i="44"/>
  <c r="U78" i="44"/>
  <c r="T78" i="44"/>
  <c r="S78" i="44"/>
  <c r="R78" i="44"/>
  <c r="Q78" i="44"/>
  <c r="O78" i="44"/>
  <c r="N78" i="44"/>
  <c r="M78" i="44"/>
  <c r="L78" i="44"/>
  <c r="K78" i="44"/>
  <c r="J78" i="44"/>
  <c r="I78" i="44"/>
  <c r="H78" i="44"/>
  <c r="G78" i="44"/>
  <c r="F78" i="44"/>
  <c r="F84" i="44" l="1"/>
  <c r="F83" i="44"/>
  <c r="BS87" i="44"/>
  <c r="BR87" i="44"/>
  <c r="BQ87" i="44"/>
  <c r="BP87" i="44"/>
  <c r="BO87" i="44"/>
  <c r="BN87" i="44"/>
  <c r="BM87" i="44"/>
  <c r="BL87" i="44"/>
  <c r="BK87" i="44"/>
  <c r="BJ87" i="44"/>
  <c r="BI87" i="44"/>
  <c r="BH87" i="44"/>
  <c r="BG87" i="44"/>
  <c r="BF87" i="44"/>
  <c r="BE87" i="44"/>
  <c r="BD87" i="44"/>
  <c r="BC87" i="44"/>
  <c r="BB87" i="44"/>
  <c r="BA87" i="44"/>
  <c r="AZ87" i="44"/>
  <c r="AY87" i="44"/>
  <c r="AX87" i="44"/>
  <c r="AW87" i="44"/>
  <c r="AV87" i="44"/>
  <c r="AU87" i="44"/>
  <c r="AT87" i="44"/>
  <c r="AS87" i="44"/>
  <c r="AR87" i="44"/>
  <c r="AQ87" i="44"/>
  <c r="AP87" i="44"/>
  <c r="AO87" i="44"/>
  <c r="AN87" i="44"/>
  <c r="AM87" i="44"/>
  <c r="AL87" i="44"/>
  <c r="AK87" i="44"/>
  <c r="AJ87" i="44"/>
  <c r="AI87" i="44"/>
  <c r="AH87" i="44"/>
  <c r="AG87" i="44"/>
  <c r="AF87" i="44"/>
  <c r="AE87" i="44"/>
  <c r="AD87" i="44"/>
  <c r="AC87" i="44"/>
  <c r="AB87" i="44"/>
  <c r="AA87" i="44"/>
  <c r="Z87" i="44"/>
  <c r="Y87" i="44"/>
  <c r="X87" i="44"/>
  <c r="W87" i="44"/>
  <c r="V87" i="44"/>
  <c r="U87" i="44"/>
  <c r="T87" i="44"/>
  <c r="S87" i="44"/>
  <c r="R87" i="44"/>
  <c r="Q87" i="44"/>
  <c r="O87" i="44"/>
  <c r="N87" i="44"/>
  <c r="M87" i="44"/>
  <c r="L87" i="44"/>
  <c r="K87" i="44"/>
  <c r="J87" i="44"/>
  <c r="I87" i="44"/>
  <c r="H87" i="44"/>
  <c r="G87" i="44"/>
  <c r="F87" i="44"/>
  <c r="BS86" i="44"/>
  <c r="BR86" i="44"/>
  <c r="BQ86" i="44"/>
  <c r="BP86" i="44"/>
  <c r="BO86" i="44"/>
  <c r="BN86" i="44"/>
  <c r="BM86" i="44"/>
  <c r="BL86" i="44"/>
  <c r="BK86" i="44"/>
  <c r="BJ86" i="44"/>
  <c r="BI86" i="44"/>
  <c r="BH86" i="44"/>
  <c r="BG86" i="44"/>
  <c r="BF86" i="44"/>
  <c r="BE86" i="44"/>
  <c r="BD86" i="44"/>
  <c r="BC86" i="44"/>
  <c r="BB86" i="44"/>
  <c r="BA86" i="44"/>
  <c r="AZ86" i="44"/>
  <c r="AY86" i="44"/>
  <c r="AX86" i="44"/>
  <c r="AW86" i="44"/>
  <c r="AV86" i="44"/>
  <c r="AU86" i="44"/>
  <c r="AT86" i="44"/>
  <c r="AS86" i="44"/>
  <c r="AR86" i="44"/>
  <c r="AQ86" i="44"/>
  <c r="AP86" i="44"/>
  <c r="AO86" i="44"/>
  <c r="AN86" i="44"/>
  <c r="AM86" i="44"/>
  <c r="AL86" i="44"/>
  <c r="AK86" i="44"/>
  <c r="AJ86" i="44"/>
  <c r="AI86" i="44"/>
  <c r="AH86" i="44"/>
  <c r="AG86" i="44"/>
  <c r="AF86" i="44"/>
  <c r="AE86" i="44"/>
  <c r="AD86" i="44"/>
  <c r="AC86" i="44"/>
  <c r="AB86" i="44"/>
  <c r="AA86" i="44"/>
  <c r="Z86" i="44"/>
  <c r="Y86" i="44"/>
  <c r="X86" i="44"/>
  <c r="W86" i="44"/>
  <c r="V86" i="44"/>
  <c r="U86" i="44"/>
  <c r="T86" i="44"/>
  <c r="S86" i="44"/>
  <c r="R86" i="44"/>
  <c r="Q86" i="44"/>
  <c r="O86" i="44"/>
  <c r="N86" i="44"/>
  <c r="M86" i="44"/>
  <c r="L86" i="44"/>
  <c r="K86" i="44"/>
  <c r="J86" i="44"/>
  <c r="I86" i="44"/>
  <c r="H86" i="44"/>
  <c r="G86" i="44"/>
  <c r="F86" i="44"/>
  <c r="BS85" i="44"/>
  <c r="BR85" i="44"/>
  <c r="BQ85" i="44"/>
  <c r="BP85" i="44"/>
  <c r="BO85" i="44"/>
  <c r="BN85" i="44"/>
  <c r="BM85" i="44"/>
  <c r="BL85" i="44"/>
  <c r="BK85" i="44"/>
  <c r="BJ85" i="44"/>
  <c r="BI85" i="44"/>
  <c r="BH85" i="44"/>
  <c r="BG85" i="44"/>
  <c r="BF85" i="44"/>
  <c r="BE85" i="44"/>
  <c r="BD85" i="44"/>
  <c r="BC85" i="44"/>
  <c r="BB85" i="44"/>
  <c r="BA85" i="44"/>
  <c r="AZ85" i="44"/>
  <c r="AY85" i="44"/>
  <c r="AX85" i="44"/>
  <c r="AW85" i="44"/>
  <c r="AV85" i="44"/>
  <c r="AU85" i="44"/>
  <c r="AT85" i="44"/>
  <c r="AS85" i="44"/>
  <c r="AR85" i="44"/>
  <c r="AQ85" i="44"/>
  <c r="AP85" i="44"/>
  <c r="AO85" i="44"/>
  <c r="AN85" i="44"/>
  <c r="AM85" i="44"/>
  <c r="AL85" i="44"/>
  <c r="AK85" i="44"/>
  <c r="AJ85" i="44"/>
  <c r="AI85" i="44"/>
  <c r="AH85" i="44"/>
  <c r="AG85" i="44"/>
  <c r="AF85" i="44"/>
  <c r="AE85" i="44"/>
  <c r="AD85" i="44"/>
  <c r="AC85" i="44"/>
  <c r="AB85" i="44"/>
  <c r="AA85" i="44"/>
  <c r="Z85" i="44"/>
  <c r="Y85" i="44"/>
  <c r="X85" i="44"/>
  <c r="W85" i="44"/>
  <c r="V85" i="44"/>
  <c r="U85" i="44"/>
  <c r="T85" i="44"/>
  <c r="S85" i="44"/>
  <c r="R85" i="44"/>
  <c r="Q85" i="44"/>
  <c r="O85" i="44"/>
  <c r="N85" i="44"/>
  <c r="M85" i="44"/>
  <c r="L85" i="44"/>
  <c r="K85" i="44"/>
  <c r="J85" i="44"/>
  <c r="I85" i="44"/>
  <c r="H85" i="44"/>
  <c r="G85" i="44"/>
  <c r="F85" i="44"/>
  <c r="BS84" i="44"/>
  <c r="BR84" i="44"/>
  <c r="BQ84" i="44"/>
  <c r="BP84" i="44"/>
  <c r="BO84" i="44"/>
  <c r="BN84" i="44"/>
  <c r="BM84" i="44"/>
  <c r="BL84" i="44"/>
  <c r="BK84" i="44"/>
  <c r="BJ84" i="44"/>
  <c r="BI84" i="44"/>
  <c r="BH84" i="44"/>
  <c r="BG84" i="44"/>
  <c r="BF84" i="44"/>
  <c r="BE84" i="44"/>
  <c r="BD84" i="44"/>
  <c r="BC84" i="44"/>
  <c r="BB84" i="44"/>
  <c r="BA84" i="44"/>
  <c r="AZ84" i="44"/>
  <c r="AY84" i="44"/>
  <c r="AX84" i="44"/>
  <c r="AW84" i="44"/>
  <c r="AV84" i="44"/>
  <c r="AU84" i="44"/>
  <c r="AT84" i="44"/>
  <c r="AS84" i="44"/>
  <c r="AR84" i="44"/>
  <c r="AQ84" i="44"/>
  <c r="AP84" i="44"/>
  <c r="AO84" i="44"/>
  <c r="AN84" i="44"/>
  <c r="AM84" i="44"/>
  <c r="AL84" i="44"/>
  <c r="AK84" i="44"/>
  <c r="AJ84" i="44"/>
  <c r="AI84" i="44"/>
  <c r="AH84" i="44"/>
  <c r="AG84" i="44"/>
  <c r="AF84" i="44"/>
  <c r="AE84" i="44"/>
  <c r="AD84" i="44"/>
  <c r="AC84" i="44"/>
  <c r="AB84" i="44"/>
  <c r="AA84" i="44"/>
  <c r="Z84" i="44"/>
  <c r="Y84" i="44"/>
  <c r="X84" i="44"/>
  <c r="W84" i="44"/>
  <c r="V84" i="44"/>
  <c r="U84" i="44"/>
  <c r="T84" i="44"/>
  <c r="S84" i="44"/>
  <c r="R84" i="44"/>
  <c r="Q84" i="44"/>
  <c r="O84" i="44"/>
  <c r="N84" i="44"/>
  <c r="M84" i="44"/>
  <c r="L84" i="44"/>
  <c r="K84" i="44"/>
  <c r="J84" i="44"/>
  <c r="I84" i="44"/>
  <c r="H84" i="44"/>
  <c r="G84" i="44"/>
  <c r="BS83" i="44"/>
  <c r="BR83" i="44"/>
  <c r="BQ83" i="44"/>
  <c r="BP83" i="44"/>
  <c r="BO83" i="44"/>
  <c r="BN83" i="44"/>
  <c r="BM83" i="44"/>
  <c r="BL83" i="44"/>
  <c r="BK83" i="44"/>
  <c r="BJ83" i="44"/>
  <c r="BI83" i="44"/>
  <c r="BH83" i="44"/>
  <c r="BG83" i="44"/>
  <c r="BF83" i="44"/>
  <c r="BE83" i="44"/>
  <c r="BD83" i="44"/>
  <c r="BC83" i="44"/>
  <c r="BB83" i="44"/>
  <c r="BA83" i="44"/>
  <c r="AZ83" i="44"/>
  <c r="AY83" i="44"/>
  <c r="AX83" i="44"/>
  <c r="AW83" i="44"/>
  <c r="AV83" i="44"/>
  <c r="AU83" i="44"/>
  <c r="AT83" i="44"/>
  <c r="AS83" i="44"/>
  <c r="AR83" i="44"/>
  <c r="AQ83" i="44"/>
  <c r="AP83" i="44"/>
  <c r="AO83" i="44"/>
  <c r="AN83" i="44"/>
  <c r="AM83" i="44"/>
  <c r="AL83" i="44"/>
  <c r="AK83" i="44"/>
  <c r="AJ83" i="44"/>
  <c r="AI83" i="44"/>
  <c r="AH83" i="44"/>
  <c r="AG83" i="44"/>
  <c r="AF83" i="44"/>
  <c r="AE83" i="44"/>
  <c r="AD83" i="44"/>
  <c r="AC83" i="44"/>
  <c r="AB83" i="44"/>
  <c r="AA83" i="44"/>
  <c r="Z83" i="44"/>
  <c r="Y83" i="44"/>
  <c r="X83" i="44"/>
  <c r="W83" i="44"/>
  <c r="V83" i="44"/>
  <c r="U83" i="44"/>
  <c r="T83" i="44"/>
  <c r="S83" i="44"/>
  <c r="R83" i="44"/>
  <c r="Q83" i="44"/>
  <c r="O83" i="44"/>
  <c r="N83" i="44"/>
  <c r="M83" i="44"/>
  <c r="L83" i="44"/>
  <c r="K83" i="44"/>
  <c r="J83" i="44"/>
  <c r="I83" i="44"/>
  <c r="H83" i="44"/>
  <c r="G83" i="44"/>
  <c r="R83" i="1"/>
  <c r="S83" i="1"/>
  <c r="T83" i="1"/>
  <c r="U83" i="1"/>
  <c r="V83" i="1"/>
  <c r="W83" i="1"/>
  <c r="X83" i="1"/>
  <c r="Y83" i="1"/>
  <c r="Z83" i="1"/>
  <c r="AA83" i="1"/>
  <c r="AB83" i="1"/>
  <c r="AC83" i="1"/>
  <c r="AD83" i="1"/>
  <c r="AE83" i="1"/>
  <c r="AF83" i="1"/>
  <c r="AG83" i="1"/>
  <c r="AH83" i="1"/>
  <c r="AI83" i="1"/>
  <c r="AJ83" i="1"/>
  <c r="AK83" i="1"/>
  <c r="AL83" i="1"/>
  <c r="AM83" i="1"/>
  <c r="AN83" i="1"/>
  <c r="AO83" i="1"/>
  <c r="AP83" i="1"/>
  <c r="AQ83" i="1"/>
  <c r="AR83" i="1"/>
  <c r="AS83" i="1"/>
  <c r="AT83" i="1"/>
  <c r="AU83" i="1"/>
  <c r="AV83" i="1"/>
  <c r="AW83" i="1"/>
  <c r="AX83" i="1"/>
  <c r="AY83" i="1"/>
  <c r="AZ83" i="1"/>
  <c r="BA83" i="1"/>
  <c r="BB83" i="1"/>
  <c r="BC83" i="1"/>
  <c r="BD83" i="1"/>
  <c r="BE83" i="1"/>
  <c r="BF83" i="1"/>
  <c r="BG83" i="1"/>
  <c r="BH83" i="1"/>
  <c r="BI83" i="1"/>
  <c r="BJ83" i="1"/>
  <c r="BK83" i="1"/>
  <c r="BL83" i="1"/>
  <c r="BM83" i="1"/>
  <c r="BN83" i="1"/>
  <c r="BO83" i="1"/>
  <c r="BP83" i="1"/>
  <c r="BQ83" i="1"/>
  <c r="BR83" i="1"/>
  <c r="BS83" i="1"/>
  <c r="R84" i="1"/>
  <c r="S84" i="1"/>
  <c r="T84" i="1"/>
  <c r="U84" i="1"/>
  <c r="V84" i="1"/>
  <c r="W84" i="1"/>
  <c r="X84" i="1"/>
  <c r="Y84" i="1"/>
  <c r="Z84" i="1"/>
  <c r="AA84" i="1"/>
  <c r="AB84" i="1"/>
  <c r="AC84" i="1"/>
  <c r="AD84" i="1"/>
  <c r="AE84" i="1"/>
  <c r="AF84" i="1"/>
  <c r="AG84" i="1"/>
  <c r="AH84" i="1"/>
  <c r="AI84" i="1"/>
  <c r="AJ84" i="1"/>
  <c r="AK84" i="1"/>
  <c r="AL84" i="1"/>
  <c r="AM84" i="1"/>
  <c r="AN84" i="1"/>
  <c r="AO84" i="1"/>
  <c r="AP84" i="1"/>
  <c r="AQ84" i="1"/>
  <c r="AR84" i="1"/>
  <c r="AS84" i="1"/>
  <c r="AT84" i="1"/>
  <c r="AU84" i="1"/>
  <c r="AV84" i="1"/>
  <c r="AW84" i="1"/>
  <c r="AX84" i="1"/>
  <c r="AY84" i="1"/>
  <c r="AZ84" i="1"/>
  <c r="BA84" i="1"/>
  <c r="BB84" i="1"/>
  <c r="BC84" i="1"/>
  <c r="BD84" i="1"/>
  <c r="BE84" i="1"/>
  <c r="BF84" i="1"/>
  <c r="BG84" i="1"/>
  <c r="BH84" i="1"/>
  <c r="BI84" i="1"/>
  <c r="BJ84" i="1"/>
  <c r="BK84" i="1"/>
  <c r="BL84" i="1"/>
  <c r="BM84" i="1"/>
  <c r="BN84" i="1"/>
  <c r="BO84" i="1"/>
  <c r="BP84" i="1"/>
  <c r="BQ84" i="1"/>
  <c r="BR84" i="1"/>
  <c r="BS84" i="1"/>
  <c r="R85" i="1"/>
  <c r="S85" i="1"/>
  <c r="T85" i="1"/>
  <c r="U85" i="1"/>
  <c r="V85" i="1"/>
  <c r="W85" i="1"/>
  <c r="X85" i="1"/>
  <c r="Y85" i="1"/>
  <c r="Z85" i="1"/>
  <c r="AA85" i="1"/>
  <c r="AB85" i="1"/>
  <c r="AC85" i="1"/>
  <c r="AD85" i="1"/>
  <c r="AE85" i="1"/>
  <c r="AF85" i="1"/>
  <c r="AG85" i="1"/>
  <c r="AH85" i="1"/>
  <c r="AI85" i="1"/>
  <c r="AJ85" i="1"/>
  <c r="AK85" i="1"/>
  <c r="AL85" i="1"/>
  <c r="AM85" i="1"/>
  <c r="AN85" i="1"/>
  <c r="AO85" i="1"/>
  <c r="AP85" i="1"/>
  <c r="AQ85" i="1"/>
  <c r="AR85" i="1"/>
  <c r="AS85" i="1"/>
  <c r="AT85" i="1"/>
  <c r="AU85" i="1"/>
  <c r="AV85" i="1"/>
  <c r="AW85" i="1"/>
  <c r="AX85" i="1"/>
  <c r="AY85" i="1"/>
  <c r="AZ85" i="1"/>
  <c r="BA85" i="1"/>
  <c r="BB85" i="1"/>
  <c r="BC85" i="1"/>
  <c r="BD85" i="1"/>
  <c r="BE85" i="1"/>
  <c r="BF85" i="1"/>
  <c r="BG85" i="1"/>
  <c r="BH85" i="1"/>
  <c r="BI85" i="1"/>
  <c r="BJ85" i="1"/>
  <c r="BK85" i="1"/>
  <c r="BL85" i="1"/>
  <c r="BM85" i="1"/>
  <c r="BN85" i="1"/>
  <c r="BO85" i="1"/>
  <c r="BP85" i="1"/>
  <c r="BQ85" i="1"/>
  <c r="BR85" i="1"/>
  <c r="BS85" i="1"/>
  <c r="R86" i="1"/>
  <c r="S86" i="1"/>
  <c r="T86" i="1"/>
  <c r="U86" i="1"/>
  <c r="V86" i="1"/>
  <c r="W86" i="1"/>
  <c r="X86" i="1"/>
  <c r="Y86" i="1"/>
  <c r="Z86" i="1"/>
  <c r="AA86" i="1"/>
  <c r="AB86" i="1"/>
  <c r="AC86" i="1"/>
  <c r="AD86" i="1"/>
  <c r="AE86" i="1"/>
  <c r="AF86" i="1"/>
  <c r="AG86" i="1"/>
  <c r="AH86" i="1"/>
  <c r="AI86" i="1"/>
  <c r="AJ86" i="1"/>
  <c r="AK86" i="1"/>
  <c r="AL86" i="1"/>
  <c r="AM86" i="1"/>
  <c r="AN86" i="1"/>
  <c r="AO86" i="1"/>
  <c r="AP86" i="1"/>
  <c r="AQ86" i="1"/>
  <c r="AR86" i="1"/>
  <c r="AS86" i="1"/>
  <c r="AT86" i="1"/>
  <c r="AU86" i="1"/>
  <c r="AV86" i="1"/>
  <c r="AW86" i="1"/>
  <c r="AX86" i="1"/>
  <c r="AY86" i="1"/>
  <c r="AZ86" i="1"/>
  <c r="BA86" i="1"/>
  <c r="BB86" i="1"/>
  <c r="BC86" i="1"/>
  <c r="BD86" i="1"/>
  <c r="BE86" i="1"/>
  <c r="BF86" i="1"/>
  <c r="BG86" i="1"/>
  <c r="BH86" i="1"/>
  <c r="BI86" i="1"/>
  <c r="BJ86" i="1"/>
  <c r="BK86" i="1"/>
  <c r="BL86" i="1"/>
  <c r="BM86" i="1"/>
  <c r="BN86" i="1"/>
  <c r="BO86" i="1"/>
  <c r="BP86" i="1"/>
  <c r="BQ86" i="1"/>
  <c r="BR86" i="1"/>
  <c r="BS86" i="1"/>
  <c r="R87" i="1"/>
  <c r="S87" i="1"/>
  <c r="T87" i="1"/>
  <c r="U87" i="1"/>
  <c r="V87" i="1"/>
  <c r="W87" i="1"/>
  <c r="X87" i="1"/>
  <c r="Y87" i="1"/>
  <c r="Z87" i="1"/>
  <c r="AA87" i="1"/>
  <c r="AB87" i="1"/>
  <c r="AC87" i="1"/>
  <c r="AD87" i="1"/>
  <c r="AE87" i="1"/>
  <c r="AF87" i="1"/>
  <c r="AG87" i="1"/>
  <c r="AH87" i="1"/>
  <c r="AI87" i="1"/>
  <c r="AJ87" i="1"/>
  <c r="AK87" i="1"/>
  <c r="AL87" i="1"/>
  <c r="AM87" i="1"/>
  <c r="AN87" i="1"/>
  <c r="AO87" i="1"/>
  <c r="AP87" i="1"/>
  <c r="AQ87" i="1"/>
  <c r="AR87" i="1"/>
  <c r="AS87" i="1"/>
  <c r="AT87" i="1"/>
  <c r="AU87" i="1"/>
  <c r="AV87" i="1"/>
  <c r="AW87" i="1"/>
  <c r="AX87" i="1"/>
  <c r="AY87" i="1"/>
  <c r="AZ87" i="1"/>
  <c r="BA87" i="1"/>
  <c r="BB87" i="1"/>
  <c r="BC87" i="1"/>
  <c r="BD87" i="1"/>
  <c r="BE87" i="1"/>
  <c r="BF87" i="1"/>
  <c r="BG87" i="1"/>
  <c r="BH87" i="1"/>
  <c r="BI87" i="1"/>
  <c r="BJ87" i="1"/>
  <c r="BK87" i="1"/>
  <c r="BL87" i="1"/>
  <c r="BM87" i="1"/>
  <c r="BN87" i="1"/>
  <c r="BO87" i="1"/>
  <c r="BP87" i="1"/>
  <c r="BQ87" i="1"/>
  <c r="BR87" i="1"/>
  <c r="BS87" i="1"/>
  <c r="Q83" i="1"/>
  <c r="Q84" i="1"/>
  <c r="Q85" i="1"/>
  <c r="Q86" i="1"/>
  <c r="Q87" i="1"/>
  <c r="G83" i="1"/>
  <c r="H83" i="1"/>
  <c r="I83" i="1"/>
  <c r="J83" i="1"/>
  <c r="K83" i="1"/>
  <c r="L83" i="1"/>
  <c r="M83" i="1"/>
  <c r="N83" i="1"/>
  <c r="O83" i="1"/>
  <c r="G84" i="1"/>
  <c r="H84" i="1"/>
  <c r="I84" i="1"/>
  <c r="J84" i="1"/>
  <c r="K84" i="1"/>
  <c r="L84" i="1"/>
  <c r="M84" i="1"/>
  <c r="N84" i="1"/>
  <c r="O84" i="1"/>
  <c r="G85" i="1"/>
  <c r="H85" i="1"/>
  <c r="I85" i="1"/>
  <c r="J85" i="1"/>
  <c r="K85" i="1"/>
  <c r="L85" i="1"/>
  <c r="M85" i="1"/>
  <c r="N85" i="1"/>
  <c r="O85" i="1"/>
  <c r="G86" i="1"/>
  <c r="H86" i="1"/>
  <c r="I86" i="1"/>
  <c r="J86" i="1"/>
  <c r="K86" i="1"/>
  <c r="L86" i="1"/>
  <c r="M86" i="1"/>
  <c r="N86" i="1"/>
  <c r="O86" i="1"/>
  <c r="G87" i="1"/>
  <c r="H87" i="1"/>
  <c r="I87" i="1"/>
  <c r="J87" i="1"/>
  <c r="K87" i="1"/>
  <c r="L87" i="1"/>
  <c r="M87" i="1"/>
  <c r="N87" i="1"/>
  <c r="O87" i="1"/>
  <c r="F84" i="1"/>
  <c r="F85" i="1"/>
  <c r="F86" i="1"/>
  <c r="F87" i="1"/>
  <c r="F83" i="1"/>
  <c r="C15" i="45"/>
  <c r="F78" i="1"/>
  <c r="F109" i="1" s="1"/>
  <c r="B51" i="42"/>
  <c r="Z51" i="42" s="1"/>
  <c r="BK20" i="53"/>
  <c r="BJ20" i="53"/>
  <c r="AU20" i="53"/>
  <c r="AT20" i="53"/>
  <c r="AE20" i="53"/>
  <c r="AD20" i="53"/>
  <c r="O20" i="53"/>
  <c r="N20" i="53"/>
  <c r="BM19" i="53"/>
  <c r="BL19" i="53"/>
  <c r="AW19" i="53"/>
  <c r="AV19" i="53"/>
  <c r="AG19" i="53"/>
  <c r="AF19" i="53"/>
  <c r="AE19" i="53"/>
  <c r="Q19" i="53"/>
  <c r="P19" i="53"/>
  <c r="O19" i="53"/>
  <c r="BO18" i="53"/>
  <c r="BN18" i="53"/>
  <c r="BM18" i="53"/>
  <c r="AY18" i="53"/>
  <c r="AX18" i="53"/>
  <c r="AW18" i="53"/>
  <c r="AI18" i="53"/>
  <c r="AH18" i="53"/>
  <c r="AG18" i="53"/>
  <c r="S18" i="53"/>
  <c r="R18" i="53"/>
  <c r="Q18" i="53"/>
  <c r="C18" i="53"/>
  <c r="BO16" i="53"/>
  <c r="BM16" i="53"/>
  <c r="BL16" i="53"/>
  <c r="BK16" i="53"/>
  <c r="BI16" i="53"/>
  <c r="BG16" i="53"/>
  <c r="BF16" i="53"/>
  <c r="BE16" i="53"/>
  <c r="BD16" i="53"/>
  <c r="BC16" i="53"/>
  <c r="BB16" i="53"/>
  <c r="BA16" i="53"/>
  <c r="AY16" i="53"/>
  <c r="AW16" i="53"/>
  <c r="AV16" i="53"/>
  <c r="AU16" i="53"/>
  <c r="AS16" i="53"/>
  <c r="AQ16" i="53"/>
  <c r="AP16" i="53"/>
  <c r="AO16" i="53"/>
  <c r="AN16" i="53"/>
  <c r="AM16" i="53"/>
  <c r="AL16" i="53"/>
  <c r="AK16" i="53"/>
  <c r="AI16" i="53"/>
  <c r="AG16" i="53"/>
  <c r="AF16" i="53"/>
  <c r="AE16" i="53"/>
  <c r="AC16" i="53"/>
  <c r="AA16" i="53"/>
  <c r="Z16" i="53"/>
  <c r="Y16" i="53"/>
  <c r="X16" i="53"/>
  <c r="W16" i="53"/>
  <c r="V16" i="53"/>
  <c r="U16" i="53"/>
  <c r="S16" i="53"/>
  <c r="Q16" i="53"/>
  <c r="P16" i="53"/>
  <c r="O16" i="53"/>
  <c r="M16" i="53"/>
  <c r="K16" i="53"/>
  <c r="J16" i="53"/>
  <c r="I16" i="53"/>
  <c r="H16" i="53"/>
  <c r="G16" i="53"/>
  <c r="F16" i="53"/>
  <c r="E16" i="53"/>
  <c r="BH15" i="53"/>
  <c r="BE15" i="53"/>
  <c r="BD15" i="53"/>
  <c r="BC15" i="53"/>
  <c r="AR15" i="53"/>
  <c r="AO15" i="53"/>
  <c r="AN15" i="53"/>
  <c r="AM15" i="53"/>
  <c r="AB15" i="53"/>
  <c r="Y15" i="53"/>
  <c r="X15" i="53"/>
  <c r="W15" i="53"/>
  <c r="L15" i="53"/>
  <c r="I15" i="53"/>
  <c r="H15" i="53"/>
  <c r="G15" i="53"/>
  <c r="N10" i="53"/>
  <c r="J10" i="53"/>
  <c r="BN20" i="53" s="1"/>
  <c r="B10" i="53"/>
  <c r="BP20" i="53" s="1"/>
  <c r="N9" i="53"/>
  <c r="AZ19" i="53" s="1"/>
  <c r="J9" i="53"/>
  <c r="B9" i="53"/>
  <c r="BB19" i="53" s="1"/>
  <c r="N8" i="53"/>
  <c r="J8" i="53"/>
  <c r="B8" i="53"/>
  <c r="BD18" i="53" s="1"/>
  <c r="N7" i="53"/>
  <c r="J7" i="53"/>
  <c r="B7" i="53"/>
  <c r="BF17" i="53" s="1"/>
  <c r="B6" i="53"/>
  <c r="BH16" i="53" s="1"/>
  <c r="N5" i="53"/>
  <c r="J5" i="53"/>
  <c r="B5" i="53"/>
  <c r="BJ15" i="53" s="1"/>
  <c r="E33" i="42"/>
  <c r="BN52" i="42"/>
  <c r="BP52" i="42"/>
  <c r="BM53" i="42"/>
  <c r="BO53" i="42"/>
  <c r="BR53" i="42"/>
  <c r="BL58" i="42"/>
  <c r="BO58" i="42"/>
  <c r="BQ58" i="42"/>
  <c r="BR58" i="42"/>
  <c r="BO59" i="42"/>
  <c r="BN60" i="42"/>
  <c r="BH52" i="42"/>
  <c r="BB53" i="42"/>
  <c r="AY58" i="42"/>
  <c r="AZ58" i="42"/>
  <c r="BB58" i="42"/>
  <c r="BD58" i="42"/>
  <c r="BG58" i="42"/>
  <c r="BC59" i="42"/>
  <c r="AZ60" i="42"/>
  <c r="AP52" i="42"/>
  <c r="AR52" i="42"/>
  <c r="AV53" i="42"/>
  <c r="AP58" i="42"/>
  <c r="AR58" i="42"/>
  <c r="AS58" i="42"/>
  <c r="AU58" i="42"/>
  <c r="AV58" i="42"/>
  <c r="AP59" i="42"/>
  <c r="AS59" i="42"/>
  <c r="AO60" i="42"/>
  <c r="AV60" i="42"/>
  <c r="AF52" i="42"/>
  <c r="AF53" i="42"/>
  <c r="AH53" i="42"/>
  <c r="AI55" i="42"/>
  <c r="AC58" i="42"/>
  <c r="AD58" i="42"/>
  <c r="AE58" i="42"/>
  <c r="AF58" i="42"/>
  <c r="AH58" i="42"/>
  <c r="AK58" i="42"/>
  <c r="AD59" i="42"/>
  <c r="AK59" i="42"/>
  <c r="AD60" i="42"/>
  <c r="AJ60" i="42"/>
  <c r="X52" i="42"/>
  <c r="Y52" i="42"/>
  <c r="X53" i="42"/>
  <c r="Z53" i="42"/>
  <c r="AA53" i="42"/>
  <c r="R58" i="42"/>
  <c r="T58" i="42"/>
  <c r="U58" i="42"/>
  <c r="W58" i="42"/>
  <c r="X58" i="42"/>
  <c r="Y58" i="42"/>
  <c r="Z58" i="42"/>
  <c r="AA58" i="42"/>
  <c r="R59" i="42"/>
  <c r="X59" i="42"/>
  <c r="AA59" i="42"/>
  <c r="U60" i="42"/>
  <c r="X60" i="42"/>
  <c r="M52" i="42"/>
  <c r="N52" i="42"/>
  <c r="K53" i="42"/>
  <c r="L53" i="42"/>
  <c r="H58" i="42"/>
  <c r="J58" i="42"/>
  <c r="K58" i="42"/>
  <c r="M58" i="42"/>
  <c r="N58" i="42"/>
  <c r="P58" i="42"/>
  <c r="H59" i="42"/>
  <c r="K59" i="42"/>
  <c r="G60" i="42"/>
  <c r="L60" i="42"/>
  <c r="N60" i="42"/>
  <c r="B52" i="42"/>
  <c r="BL52" i="42" s="1"/>
  <c r="B53" i="42"/>
  <c r="BS53" i="42" s="1"/>
  <c r="B54" i="42"/>
  <c r="BQ54" i="42" s="1"/>
  <c r="B55" i="42"/>
  <c r="BQ55" i="42" s="1"/>
  <c r="B56" i="42"/>
  <c r="B57" i="42"/>
  <c r="B58" i="42"/>
  <c r="BM58" i="42" s="1"/>
  <c r="B59" i="42"/>
  <c r="BS59" i="42" s="1"/>
  <c r="B60" i="42"/>
  <c r="BD60" i="42" s="1"/>
  <c r="BA53" i="42" l="1"/>
  <c r="J53" i="42"/>
  <c r="AE53" i="42"/>
  <c r="I53" i="42"/>
  <c r="W53" i="42"/>
  <c r="AL52" i="42"/>
  <c r="BK53" i="42"/>
  <c r="BQ56" i="42"/>
  <c r="R56" i="42"/>
  <c r="H53" i="42"/>
  <c r="U53" i="42"/>
  <c r="AK52" i="42"/>
  <c r="AQ56" i="42"/>
  <c r="BB52" i="42"/>
  <c r="P52" i="42"/>
  <c r="AA52" i="42"/>
  <c r="AI52" i="42"/>
  <c r="AW53" i="42"/>
  <c r="BQ52" i="42"/>
  <c r="AQ53" i="42"/>
  <c r="AW52" i="42"/>
  <c r="BG53" i="42"/>
  <c r="M54" i="42"/>
  <c r="T52" i="42"/>
  <c r="AJ53" i="42"/>
  <c r="AU52" i="42"/>
  <c r="BE53" i="42"/>
  <c r="AT53" i="42"/>
  <c r="K52" i="42"/>
  <c r="W52" i="42"/>
  <c r="O56" i="42"/>
  <c r="J52" i="42"/>
  <c r="V52" i="42"/>
  <c r="O53" i="42"/>
  <c r="Y56" i="42"/>
  <c r="AI53" i="42"/>
  <c r="AS52" i="42"/>
  <c r="BD53" i="42"/>
  <c r="BM56" i="42"/>
  <c r="BE52" i="42"/>
  <c r="BS52" i="42"/>
  <c r="AL56" i="42"/>
  <c r="AI56" i="42"/>
  <c r="AW56" i="42"/>
  <c r="AA56" i="42"/>
  <c r="BH56" i="42"/>
  <c r="BP56" i="42"/>
  <c r="V56" i="42"/>
  <c r="Z55" i="42"/>
  <c r="P55" i="42"/>
  <c r="O55" i="42"/>
  <c r="Y55" i="42"/>
  <c r="L55" i="42"/>
  <c r="X55" i="42"/>
  <c r="J55" i="42"/>
  <c r="AQ55" i="42"/>
  <c r="BF55" i="42"/>
  <c r="BS55" i="42"/>
  <c r="BR55" i="42"/>
  <c r="AJ55" i="42"/>
  <c r="Z54" i="42"/>
  <c r="I54" i="42"/>
  <c r="BD54" i="42"/>
  <c r="BA54" i="42"/>
  <c r="BP54" i="42"/>
  <c r="BM54" i="42"/>
  <c r="AE54" i="42"/>
  <c r="O54" i="42"/>
  <c r="O57" i="42"/>
  <c r="V57" i="42"/>
  <c r="BR59" i="42"/>
  <c r="P60" i="42"/>
  <c r="J59" i="42"/>
  <c r="N57" i="42"/>
  <c r="W60" i="42"/>
  <c r="Z52" i="42"/>
  <c r="AC60" i="42"/>
  <c r="AG58" i="42"/>
  <c r="AK56" i="42"/>
  <c r="AL53" i="42"/>
  <c r="AE52" i="42"/>
  <c r="AR59" i="42"/>
  <c r="AV57" i="42"/>
  <c r="AP53" i="42"/>
  <c r="BB60" i="42"/>
  <c r="BF58" i="42"/>
  <c r="BC54" i="42"/>
  <c r="BD52" i="42"/>
  <c r="BQ59" i="42"/>
  <c r="BK58" i="42"/>
  <c r="BO56" i="42"/>
  <c r="BQ53" i="42"/>
  <c r="AW57" i="42"/>
  <c r="BC60" i="42"/>
  <c r="O60" i="42"/>
  <c r="I59" i="42"/>
  <c r="M57" i="42"/>
  <c r="V60" i="42"/>
  <c r="AL59" i="42"/>
  <c r="AJ56" i="42"/>
  <c r="AK53" i="42"/>
  <c r="AW60" i="42"/>
  <c r="AQ59" i="42"/>
  <c r="AU57" i="42"/>
  <c r="AO53" i="42"/>
  <c r="BA60" i="42"/>
  <c r="BE58" i="42"/>
  <c r="BB54" i="42"/>
  <c r="BC52" i="42"/>
  <c r="BP59" i="42"/>
  <c r="BJ58" i="42"/>
  <c r="BN56" i="42"/>
  <c r="BP53" i="42"/>
  <c r="AT57" i="42"/>
  <c r="BS57" i="42"/>
  <c r="M60" i="42"/>
  <c r="G59" i="42"/>
  <c r="K57" i="42"/>
  <c r="T60" i="42"/>
  <c r="AA54" i="42"/>
  <c r="AJ59" i="42"/>
  <c r="AH56" i="42"/>
  <c r="AU60" i="42"/>
  <c r="AO59" i="42"/>
  <c r="AS57" i="42"/>
  <c r="AT55" i="42"/>
  <c r="AV52" i="42"/>
  <c r="AY60" i="42"/>
  <c r="BC58" i="42"/>
  <c r="BG56" i="42"/>
  <c r="BH53" i="42"/>
  <c r="BA52" i="42"/>
  <c r="BN59" i="42"/>
  <c r="BR57" i="42"/>
  <c r="BN53" i="42"/>
  <c r="S60" i="42"/>
  <c r="AI59" i="42"/>
  <c r="AG56" i="42"/>
  <c r="AT60" i="42"/>
  <c r="AN59" i="42"/>
  <c r="AR57" i="42"/>
  <c r="BH59" i="42"/>
  <c r="BF56" i="42"/>
  <c r="BS60" i="42"/>
  <c r="BM59" i="42"/>
  <c r="BQ57" i="42"/>
  <c r="K60" i="42"/>
  <c r="O58" i="42"/>
  <c r="K55" i="42"/>
  <c r="O52" i="42"/>
  <c r="R60" i="42"/>
  <c r="V58" i="42"/>
  <c r="Z56" i="42"/>
  <c r="V54" i="42"/>
  <c r="U52" i="42"/>
  <c r="AH59" i="42"/>
  <c r="AL57" i="42"/>
  <c r="AF56" i="42"/>
  <c r="AG53" i="42"/>
  <c r="AS60" i="42"/>
  <c r="AW58" i="42"/>
  <c r="AU54" i="42"/>
  <c r="AT52" i="42"/>
  <c r="BG59" i="42"/>
  <c r="BA58" i="42"/>
  <c r="BE56" i="42"/>
  <c r="BF53" i="42"/>
  <c r="BR60" i="42"/>
  <c r="BL59" i="42"/>
  <c r="BP57" i="42"/>
  <c r="BL53" i="42"/>
  <c r="L57" i="42"/>
  <c r="J60" i="42"/>
  <c r="AG59" i="42"/>
  <c r="AK57" i="42"/>
  <c r="AR60" i="42"/>
  <c r="AR54" i="42"/>
  <c r="BF59" i="42"/>
  <c r="BD56" i="42"/>
  <c r="BQ60" i="42"/>
  <c r="BK59" i="42"/>
  <c r="BO57" i="42"/>
  <c r="I60" i="42"/>
  <c r="Z59" i="42"/>
  <c r="X56" i="42"/>
  <c r="AL60" i="42"/>
  <c r="AF59" i="42"/>
  <c r="AJ57" i="42"/>
  <c r="AQ60" i="42"/>
  <c r="AQ54" i="42"/>
  <c r="BE59" i="42"/>
  <c r="BC56" i="42"/>
  <c r="BP60" i="42"/>
  <c r="BJ59" i="42"/>
  <c r="BN57" i="42"/>
  <c r="H60" i="42"/>
  <c r="L58" i="42"/>
  <c r="P56" i="42"/>
  <c r="N54" i="42"/>
  <c r="L52" i="42"/>
  <c r="Y59" i="42"/>
  <c r="S58" i="42"/>
  <c r="W56" i="42"/>
  <c r="Y53" i="42"/>
  <c r="AK60" i="42"/>
  <c r="AE59" i="42"/>
  <c r="AI57" i="42"/>
  <c r="AD53" i="42"/>
  <c r="AP60" i="42"/>
  <c r="AT58" i="42"/>
  <c r="AP54" i="42"/>
  <c r="AQ52" i="42"/>
  <c r="BD59" i="42"/>
  <c r="BH57" i="42"/>
  <c r="BB56" i="42"/>
  <c r="BC53" i="42"/>
  <c r="BO60" i="42"/>
  <c r="BS58" i="42"/>
  <c r="BS54" i="42"/>
  <c r="BR52" i="42"/>
  <c r="AH57" i="42"/>
  <c r="P59" i="42"/>
  <c r="AA57" i="42"/>
  <c r="AI60" i="42"/>
  <c r="AC59" i="42"/>
  <c r="AG57" i="42"/>
  <c r="AN60" i="42"/>
  <c r="AV56" i="42"/>
  <c r="BH60" i="42"/>
  <c r="BB59" i="42"/>
  <c r="BF57" i="42"/>
  <c r="BM60" i="42"/>
  <c r="BO54" i="42"/>
  <c r="O59" i="42"/>
  <c r="I58" i="42"/>
  <c r="M56" i="42"/>
  <c r="P53" i="42"/>
  <c r="I52" i="42"/>
  <c r="V59" i="42"/>
  <c r="Z57" i="42"/>
  <c r="V53" i="42"/>
  <c r="AH60" i="42"/>
  <c r="AL58" i="42"/>
  <c r="AE55" i="42"/>
  <c r="AJ52" i="42"/>
  <c r="AW59" i="42"/>
  <c r="AQ58" i="42"/>
  <c r="AU56" i="42"/>
  <c r="AU53" i="42"/>
  <c r="BG60" i="42"/>
  <c r="BA59" i="42"/>
  <c r="BE57" i="42"/>
  <c r="AZ53" i="42"/>
  <c r="BL60" i="42"/>
  <c r="BP58" i="42"/>
  <c r="BN54" i="42"/>
  <c r="BO52" i="42"/>
  <c r="N56" i="42"/>
  <c r="W59" i="42"/>
  <c r="U56" i="42"/>
  <c r="N59" i="42"/>
  <c r="Y57" i="42"/>
  <c r="AG60" i="42"/>
  <c r="AV59" i="42"/>
  <c r="BF60" i="42"/>
  <c r="BD57" i="42"/>
  <c r="BS56" i="42"/>
  <c r="M59" i="42"/>
  <c r="G58" i="42"/>
  <c r="K56" i="42"/>
  <c r="N53" i="42"/>
  <c r="Z60" i="42"/>
  <c r="T59" i="42"/>
  <c r="X57" i="42"/>
  <c r="T53" i="42"/>
  <c r="AF60" i="42"/>
  <c r="AJ58" i="42"/>
  <c r="AL54" i="42"/>
  <c r="AH52" i="42"/>
  <c r="AU59" i="42"/>
  <c r="AO58" i="42"/>
  <c r="AS56" i="42"/>
  <c r="AS53" i="42"/>
  <c r="BE60" i="42"/>
  <c r="AY59" i="42"/>
  <c r="BC57" i="42"/>
  <c r="BE55" i="42"/>
  <c r="BG52" i="42"/>
  <c r="BJ60" i="42"/>
  <c r="BN58" i="42"/>
  <c r="BR56" i="42"/>
  <c r="BL54" i="42"/>
  <c r="BM52" i="42"/>
  <c r="BG57" i="42"/>
  <c r="L56" i="42"/>
  <c r="AA60" i="42"/>
  <c r="U59" i="42"/>
  <c r="AT56" i="42"/>
  <c r="AZ59" i="42"/>
  <c r="BK60" i="42"/>
  <c r="L59" i="42"/>
  <c r="P57" i="42"/>
  <c r="J56" i="42"/>
  <c r="M53" i="42"/>
  <c r="Y60" i="42"/>
  <c r="S59" i="42"/>
  <c r="W57" i="42"/>
  <c r="AA55" i="42"/>
  <c r="S53" i="42"/>
  <c r="AE60" i="42"/>
  <c r="AI58" i="42"/>
  <c r="AH54" i="42"/>
  <c r="AG52" i="42"/>
  <c r="AT59" i="42"/>
  <c r="AN58" i="42"/>
  <c r="AR56" i="42"/>
  <c r="AR53" i="42"/>
  <c r="BH58" i="42"/>
  <c r="BG54" i="42"/>
  <c r="BF52" i="42"/>
  <c r="F110" i="1"/>
  <c r="AW55" i="42"/>
  <c r="I55" i="42"/>
  <c r="V55" i="42"/>
  <c r="AH55" i="42"/>
  <c r="AV55" i="42"/>
  <c r="P54" i="42"/>
  <c r="U55" i="42"/>
  <c r="AG55" i="42"/>
  <c r="AU55" i="42"/>
  <c r="BG55" i="42"/>
  <c r="AP55" i="42"/>
  <c r="BD55" i="42"/>
  <c r="BO55" i="42"/>
  <c r="Y54" i="42"/>
  <c r="AK54" i="42"/>
  <c r="BC55" i="42"/>
  <c r="K54" i="42"/>
  <c r="X54" i="42"/>
  <c r="AJ54" i="42"/>
  <c r="AW54" i="42"/>
  <c r="BB55" i="42"/>
  <c r="BM55" i="42"/>
  <c r="L54" i="42"/>
  <c r="BN55" i="42"/>
  <c r="J54" i="42"/>
  <c r="W54" i="42"/>
  <c r="AI54" i="42"/>
  <c r="AV54" i="42"/>
  <c r="BH54" i="42"/>
  <c r="BL55" i="42"/>
  <c r="U54" i="42"/>
  <c r="AG54" i="42"/>
  <c r="AT54" i="42"/>
  <c r="BF54" i="42"/>
  <c r="BR54" i="42"/>
  <c r="T54" i="42"/>
  <c r="AF54" i="42"/>
  <c r="AS54" i="42"/>
  <c r="BE54" i="42"/>
  <c r="T17" i="53"/>
  <c r="O15" i="53"/>
  <c r="AE15" i="53"/>
  <c r="AU15" i="53"/>
  <c r="BK15" i="53"/>
  <c r="K17" i="53"/>
  <c r="AA17" i="53"/>
  <c r="AQ17" i="53"/>
  <c r="BG17" i="53"/>
  <c r="I18" i="53"/>
  <c r="Y18" i="53"/>
  <c r="AO18" i="53"/>
  <c r="BE18" i="53"/>
  <c r="G19" i="53"/>
  <c r="W19" i="53"/>
  <c r="AM19" i="53"/>
  <c r="BC19" i="53"/>
  <c r="E20" i="53"/>
  <c r="U20" i="53"/>
  <c r="AK20" i="53"/>
  <c r="BA20" i="53"/>
  <c r="P15" i="53"/>
  <c r="AF15" i="53"/>
  <c r="AV15" i="53"/>
  <c r="BL15" i="53"/>
  <c r="N16" i="53"/>
  <c r="AD16" i="53"/>
  <c r="AT16" i="53"/>
  <c r="BJ16" i="53"/>
  <c r="L17" i="53"/>
  <c r="AB17" i="53"/>
  <c r="AR17" i="53"/>
  <c r="BH17" i="53"/>
  <c r="J18" i="53"/>
  <c r="Z18" i="53"/>
  <c r="AP18" i="53"/>
  <c r="BF18" i="53"/>
  <c r="H19" i="53"/>
  <c r="X19" i="53"/>
  <c r="AN19" i="53"/>
  <c r="BD19" i="53"/>
  <c r="F20" i="53"/>
  <c r="V20" i="53"/>
  <c r="AL20" i="53"/>
  <c r="BB20" i="53"/>
  <c r="Q15" i="53"/>
  <c r="AG15" i="53"/>
  <c r="AW15" i="53"/>
  <c r="BM15" i="53"/>
  <c r="M17" i="53"/>
  <c r="AC17" i="53"/>
  <c r="AS17" i="53"/>
  <c r="BI17" i="53"/>
  <c r="K18" i="53"/>
  <c r="AA18" i="53"/>
  <c r="AQ18" i="53"/>
  <c r="BG18" i="53"/>
  <c r="I19" i="53"/>
  <c r="Y19" i="53"/>
  <c r="AO19" i="53"/>
  <c r="BE19" i="53"/>
  <c r="G20" i="53"/>
  <c r="W20" i="53"/>
  <c r="AM20" i="53"/>
  <c r="BC20" i="53"/>
  <c r="R15" i="53"/>
  <c r="AH15" i="53"/>
  <c r="AX15" i="53"/>
  <c r="BN15" i="53"/>
  <c r="N17" i="53"/>
  <c r="AD17" i="53"/>
  <c r="AT17" i="53"/>
  <c r="BJ17" i="53"/>
  <c r="L18" i="53"/>
  <c r="AB18" i="53"/>
  <c r="AR18" i="53"/>
  <c r="BH18" i="53"/>
  <c r="J19" i="53"/>
  <c r="Z19" i="53"/>
  <c r="AP19" i="53"/>
  <c r="BF19" i="53"/>
  <c r="H20" i="53"/>
  <c r="X20" i="53"/>
  <c r="AN20" i="53"/>
  <c r="BD20" i="53"/>
  <c r="S15" i="53"/>
  <c r="AI15" i="53"/>
  <c r="AY15" i="53"/>
  <c r="BO15" i="53"/>
  <c r="O17" i="53"/>
  <c r="AE17" i="53"/>
  <c r="AU17" i="53"/>
  <c r="BK17" i="53"/>
  <c r="M18" i="53"/>
  <c r="AC18" i="53"/>
  <c r="AS18" i="53"/>
  <c r="BI18" i="53"/>
  <c r="K19" i="53"/>
  <c r="AA19" i="53"/>
  <c r="AQ19" i="53"/>
  <c r="BG19" i="53"/>
  <c r="I20" i="53"/>
  <c r="Y20" i="53"/>
  <c r="AO20" i="53"/>
  <c r="BE20" i="53"/>
  <c r="D15" i="53"/>
  <c r="T15" i="53"/>
  <c r="AJ15" i="53"/>
  <c r="AZ15" i="53"/>
  <c r="BP15" i="53"/>
  <c r="R16" i="53"/>
  <c r="AH16" i="53"/>
  <c r="AX16" i="53"/>
  <c r="BN16" i="53"/>
  <c r="P17" i="53"/>
  <c r="AF17" i="53"/>
  <c r="AV17" i="53"/>
  <c r="BL17" i="53"/>
  <c r="N18" i="53"/>
  <c r="AD18" i="53"/>
  <c r="AT18" i="53"/>
  <c r="BJ18" i="53"/>
  <c r="L19" i="53"/>
  <c r="AB19" i="53"/>
  <c r="AR19" i="53"/>
  <c r="BH19" i="53"/>
  <c r="J20" i="53"/>
  <c r="Z20" i="53"/>
  <c r="AP20" i="53"/>
  <c r="BF20" i="53"/>
  <c r="C15" i="53"/>
  <c r="U15" i="53"/>
  <c r="AW17" i="53"/>
  <c r="AE18" i="53"/>
  <c r="M19" i="53"/>
  <c r="BI19" i="53"/>
  <c r="AA20" i="53"/>
  <c r="AQ20" i="53"/>
  <c r="BG20" i="53"/>
  <c r="E15" i="53"/>
  <c r="AK15" i="53"/>
  <c r="BA15" i="53"/>
  <c r="Q17" i="53"/>
  <c r="AG17" i="53"/>
  <c r="BM17" i="53"/>
  <c r="O18" i="53"/>
  <c r="AU18" i="53"/>
  <c r="BK18" i="53"/>
  <c r="AC19" i="53"/>
  <c r="AS19" i="53"/>
  <c r="K20" i="53"/>
  <c r="F15" i="53"/>
  <c r="V15" i="53"/>
  <c r="AL15" i="53"/>
  <c r="BB15" i="53"/>
  <c r="D16" i="53"/>
  <c r="T16" i="53"/>
  <c r="AJ16" i="53"/>
  <c r="AZ16" i="53"/>
  <c r="BP16" i="53"/>
  <c r="R17" i="53"/>
  <c r="AH17" i="53"/>
  <c r="AX17" i="53"/>
  <c r="BN17" i="53"/>
  <c r="P18" i="53"/>
  <c r="AF18" i="53"/>
  <c r="AV18" i="53"/>
  <c r="BL18" i="53"/>
  <c r="N19" i="53"/>
  <c r="AD19" i="53"/>
  <c r="AT19" i="53"/>
  <c r="BJ19" i="53"/>
  <c r="L20" i="53"/>
  <c r="AB20" i="53"/>
  <c r="AR20" i="53"/>
  <c r="BH20" i="53"/>
  <c r="C17" i="53"/>
  <c r="S17" i="53"/>
  <c r="AI17" i="53"/>
  <c r="AY17" i="53"/>
  <c r="BO17" i="53"/>
  <c r="AU19" i="53"/>
  <c r="BK19" i="53"/>
  <c r="M20" i="53"/>
  <c r="AC20" i="53"/>
  <c r="AS20" i="53"/>
  <c r="BI20" i="53"/>
  <c r="BP17" i="53"/>
  <c r="J15" i="53"/>
  <c r="Z15" i="53"/>
  <c r="AP15" i="53"/>
  <c r="F17" i="53"/>
  <c r="V17" i="53"/>
  <c r="AL17" i="53"/>
  <c r="BB17" i="53"/>
  <c r="D18" i="53"/>
  <c r="T18" i="53"/>
  <c r="AJ18" i="53"/>
  <c r="AZ18" i="53"/>
  <c r="BP18" i="53"/>
  <c r="R19" i="53"/>
  <c r="AH19" i="53"/>
  <c r="AX19" i="53"/>
  <c r="BN19" i="53"/>
  <c r="P20" i="53"/>
  <c r="AF20" i="53"/>
  <c r="AV20" i="53"/>
  <c r="BL20" i="53"/>
  <c r="D17" i="53"/>
  <c r="E17" i="53"/>
  <c r="U17" i="53"/>
  <c r="AK17" i="53"/>
  <c r="BA17" i="53"/>
  <c r="BF15" i="53"/>
  <c r="K15" i="53"/>
  <c r="AA15" i="53"/>
  <c r="AQ15" i="53"/>
  <c r="BG15" i="53"/>
  <c r="G17" i="53"/>
  <c r="W17" i="53"/>
  <c r="AM17" i="53"/>
  <c r="BC17" i="53"/>
  <c r="E18" i="53"/>
  <c r="U18" i="53"/>
  <c r="AK18" i="53"/>
  <c r="BA18" i="53"/>
  <c r="C19" i="53"/>
  <c r="S19" i="53"/>
  <c r="AI19" i="53"/>
  <c r="AY19" i="53"/>
  <c r="BO19" i="53"/>
  <c r="Q20" i="53"/>
  <c r="AG20" i="53"/>
  <c r="AW20" i="53"/>
  <c r="BM20" i="53"/>
  <c r="AZ17" i="53"/>
  <c r="H17" i="53"/>
  <c r="F18" i="53"/>
  <c r="D19" i="53"/>
  <c r="AJ19" i="53"/>
  <c r="BP19" i="53"/>
  <c r="AX20" i="53"/>
  <c r="I17" i="53"/>
  <c r="Y17" i="53"/>
  <c r="BE17" i="53"/>
  <c r="G18" i="53"/>
  <c r="W18" i="53"/>
  <c r="AM18" i="53"/>
  <c r="BC18" i="53"/>
  <c r="E19" i="53"/>
  <c r="U19" i="53"/>
  <c r="AK19" i="53"/>
  <c r="BA19" i="53"/>
  <c r="C20" i="53"/>
  <c r="S20" i="53"/>
  <c r="AI20" i="53"/>
  <c r="AY20" i="53"/>
  <c r="BO20" i="53"/>
  <c r="AJ17" i="53"/>
  <c r="X17" i="53"/>
  <c r="AN17" i="53"/>
  <c r="BD17" i="53"/>
  <c r="V18" i="53"/>
  <c r="AL18" i="53"/>
  <c r="BB18" i="53"/>
  <c r="T19" i="53"/>
  <c r="R20" i="53"/>
  <c r="AH20" i="53"/>
  <c r="M15" i="53"/>
  <c r="AC15" i="53"/>
  <c r="AS15" i="53"/>
  <c r="BI15" i="53"/>
  <c r="AO17" i="53"/>
  <c r="N15" i="53"/>
  <c r="AD15" i="53"/>
  <c r="AT15" i="53"/>
  <c r="L16" i="53"/>
  <c r="AB16" i="53"/>
  <c r="AR16" i="53"/>
  <c r="J17" i="53"/>
  <c r="Z17" i="53"/>
  <c r="AP17" i="53"/>
  <c r="H18" i="53"/>
  <c r="X18" i="53"/>
  <c r="AN18" i="53"/>
  <c r="F19" i="53"/>
  <c r="V19" i="53"/>
  <c r="AL19" i="53"/>
  <c r="D20" i="53"/>
  <c r="T20" i="53"/>
  <c r="AJ20" i="53"/>
  <c r="AZ20" i="53"/>
  <c r="BH51" i="42"/>
  <c r="BG51" i="42"/>
  <c r="O51" i="42"/>
  <c r="AA51" i="42"/>
  <c r="AL51" i="42"/>
  <c r="AK51" i="42"/>
  <c r="P51" i="42"/>
  <c r="BS51" i="42"/>
  <c r="AW51" i="42"/>
  <c r="AV51" i="42"/>
  <c r="BR51" i="42"/>
  <c r="M55" i="42"/>
  <c r="AK55" i="42"/>
  <c r="AR55" i="42"/>
  <c r="BP55" i="42"/>
  <c r="W55" i="42"/>
  <c r="AF55" i="42"/>
  <c r="T55" i="42"/>
  <c r="BH55" i="42"/>
  <c r="N55" i="42"/>
  <c r="AL55" i="42"/>
  <c r="AS55" i="42"/>
  <c r="BA55" i="42"/>
  <c r="P3" i="51" l="1"/>
  <c r="B76" i="44"/>
  <c r="BH76" i="44" s="1"/>
  <c r="AY75" i="44"/>
  <c r="AW75" i="44"/>
  <c r="I75" i="44"/>
  <c r="H75" i="44"/>
  <c r="G75" i="44"/>
  <c r="B75" i="44"/>
  <c r="BN75" i="44" s="1"/>
  <c r="B74" i="44"/>
  <c r="B73" i="44"/>
  <c r="B72" i="44"/>
  <c r="B71" i="44"/>
  <c r="BS71" i="44" s="1"/>
  <c r="B70" i="44"/>
  <c r="AW70" i="44" s="1"/>
  <c r="B69" i="44"/>
  <c r="BN69" i="44" s="1"/>
  <c r="B68" i="44"/>
  <c r="BH68" i="44" s="1"/>
  <c r="B67" i="44"/>
  <c r="BN67" i="44" s="1"/>
  <c r="H21" i="52"/>
  <c r="E19" i="52"/>
  <c r="Q16" i="52"/>
  <c r="R11" i="52"/>
  <c r="N11" i="52"/>
  <c r="J11" i="52"/>
  <c r="BJ22" i="52" s="1"/>
  <c r="R10" i="52"/>
  <c r="N10" i="52"/>
  <c r="J10" i="52"/>
  <c r="BA21" i="52" s="1"/>
  <c r="R9" i="52"/>
  <c r="N9" i="52"/>
  <c r="J9" i="52"/>
  <c r="BC20" i="52" s="1"/>
  <c r="R8" i="52"/>
  <c r="N8" i="52"/>
  <c r="J8" i="52"/>
  <c r="BE19" i="52" s="1"/>
  <c r="R7" i="52"/>
  <c r="N7" i="52"/>
  <c r="J7" i="52"/>
  <c r="BJ18" i="52" s="1"/>
  <c r="I7" i="52"/>
  <c r="E7" i="52"/>
  <c r="R6" i="52"/>
  <c r="N6" i="52"/>
  <c r="J6" i="52"/>
  <c r="BI17" i="52" s="1"/>
  <c r="I6" i="52"/>
  <c r="E6" i="52"/>
  <c r="R5" i="52"/>
  <c r="N5" i="52"/>
  <c r="J5" i="52"/>
  <c r="BK16" i="52" s="1"/>
  <c r="I5" i="52"/>
  <c r="E5" i="52"/>
  <c r="B68" i="1"/>
  <c r="BP68" i="1" s="1"/>
  <c r="B69" i="1"/>
  <c r="P69" i="1" s="1"/>
  <c r="B70" i="1"/>
  <c r="B71" i="1"/>
  <c r="B72" i="1"/>
  <c r="B73" i="1"/>
  <c r="B74" i="1"/>
  <c r="B75" i="1"/>
  <c r="H75" i="1" s="1"/>
  <c r="B76" i="1"/>
  <c r="K76" i="1" s="1"/>
  <c r="B67" i="1"/>
  <c r="L67" i="1" s="1"/>
  <c r="B51" i="1"/>
  <c r="C51" i="1"/>
  <c r="BL3" i="46"/>
  <c r="G28" i="41"/>
  <c r="J28" i="41" s="1"/>
  <c r="H28" i="41"/>
  <c r="I28" i="41" s="1"/>
  <c r="G29" i="41"/>
  <c r="K29" i="41" s="1"/>
  <c r="H29" i="41"/>
  <c r="I29" i="41" s="1"/>
  <c r="G30" i="41"/>
  <c r="J30" i="41" s="1"/>
  <c r="H30" i="41"/>
  <c r="I30" i="41" s="1"/>
  <c r="G31" i="41"/>
  <c r="J31" i="41" s="1"/>
  <c r="H31" i="41"/>
  <c r="I31" i="41" s="1"/>
  <c r="G32" i="41"/>
  <c r="J32" i="41" s="1"/>
  <c r="H32" i="41"/>
  <c r="I32" i="41" s="1"/>
  <c r="G33" i="41"/>
  <c r="J33" i="41" s="1"/>
  <c r="H33" i="41"/>
  <c r="I33" i="41" s="1"/>
  <c r="G34" i="41"/>
  <c r="J34" i="41" s="1"/>
  <c r="H34" i="41"/>
  <c r="I34" i="41" s="1"/>
  <c r="G35" i="41"/>
  <c r="K35" i="41" s="1"/>
  <c r="H35" i="41"/>
  <c r="I35" i="41" s="1"/>
  <c r="G36" i="41"/>
  <c r="K36" i="41" s="1"/>
  <c r="H36" i="41"/>
  <c r="I36" i="41" s="1"/>
  <c r="H27" i="41"/>
  <c r="G27" i="41"/>
  <c r="G4" i="41"/>
  <c r="J4" i="41" s="1"/>
  <c r="H4" i="41"/>
  <c r="I4" i="41" s="1"/>
  <c r="G5" i="41"/>
  <c r="J5" i="41" s="1"/>
  <c r="H5" i="41"/>
  <c r="I5" i="41" s="1"/>
  <c r="G6" i="41"/>
  <c r="K6" i="41" s="1"/>
  <c r="H6" i="41"/>
  <c r="I6" i="41" s="1"/>
  <c r="G7" i="41"/>
  <c r="J7" i="41" s="1"/>
  <c r="H7" i="41"/>
  <c r="I7" i="41" s="1"/>
  <c r="G8" i="41"/>
  <c r="J8" i="41" s="1"/>
  <c r="H8" i="41"/>
  <c r="I8" i="41" s="1"/>
  <c r="G9" i="41"/>
  <c r="J9" i="41" s="1"/>
  <c r="H9" i="41"/>
  <c r="I9" i="41" s="1"/>
  <c r="G10" i="41"/>
  <c r="J10" i="41" s="1"/>
  <c r="H10" i="41"/>
  <c r="I10" i="41" s="1"/>
  <c r="G11" i="41"/>
  <c r="J11" i="41" s="1"/>
  <c r="H11" i="41"/>
  <c r="I11" i="41" s="1"/>
  <c r="G12" i="41"/>
  <c r="J12" i="41" s="1"/>
  <c r="H12" i="41"/>
  <c r="I12" i="41" s="1"/>
  <c r="H3" i="41"/>
  <c r="G3" i="41"/>
  <c r="BG9" i="46"/>
  <c r="BL9" i="46"/>
  <c r="BK9" i="46"/>
  <c r="BJ9" i="46"/>
  <c r="BI9" i="46"/>
  <c r="BH9" i="46"/>
  <c r="AU4" i="51"/>
  <c r="AU5" i="51"/>
  <c r="AU6" i="51"/>
  <c r="AU7" i="51"/>
  <c r="AU8" i="51"/>
  <c r="AU3" i="51"/>
  <c r="K35" i="42"/>
  <c r="K34" i="42"/>
  <c r="B4" i="51"/>
  <c r="B5" i="51"/>
  <c r="B6" i="51"/>
  <c r="B7" i="51"/>
  <c r="B8" i="51"/>
  <c r="B3" i="51"/>
  <c r="BQ70" i="44" l="1"/>
  <c r="BR70" i="44"/>
  <c r="AS75" i="44"/>
  <c r="AW68" i="44"/>
  <c r="BA75" i="44"/>
  <c r="O71" i="44"/>
  <c r="M75" i="44"/>
  <c r="BC75" i="44"/>
  <c r="I69" i="44"/>
  <c r="P71" i="44"/>
  <c r="S75" i="44"/>
  <c r="BD75" i="44"/>
  <c r="T69" i="44"/>
  <c r="Z71" i="44"/>
  <c r="U75" i="44"/>
  <c r="BE75" i="44"/>
  <c r="U69" i="44"/>
  <c r="AA71" i="44"/>
  <c r="W75" i="44"/>
  <c r="BM75" i="44"/>
  <c r="Z69" i="44"/>
  <c r="AK71" i="44"/>
  <c r="X75" i="44"/>
  <c r="BO75" i="44"/>
  <c r="AA69" i="44"/>
  <c r="AL71" i="44"/>
  <c r="Y75" i="44"/>
  <c r="BQ75" i="44"/>
  <c r="AG69" i="44"/>
  <c r="AV71" i="44"/>
  <c r="AC75" i="44"/>
  <c r="BS75" i="44"/>
  <c r="BN88" i="1"/>
  <c r="BN88" i="44"/>
  <c r="AJ69" i="44"/>
  <c r="AW71" i="44"/>
  <c r="AG75" i="44"/>
  <c r="BB69" i="44"/>
  <c r="BR71" i="44"/>
  <c r="AI75" i="44"/>
  <c r="AG76" i="44"/>
  <c r="BE69" i="44"/>
  <c r="AK75" i="44"/>
  <c r="AW76" i="44"/>
  <c r="BH69" i="44"/>
  <c r="AN75" i="44"/>
  <c r="BM76" i="44"/>
  <c r="AO75" i="44"/>
  <c r="AK69" i="44"/>
  <c r="AL69" i="44"/>
  <c r="J69" i="44"/>
  <c r="K69" i="44"/>
  <c r="AW69" i="44"/>
  <c r="AU69" i="44"/>
  <c r="M69" i="44"/>
  <c r="O69" i="44"/>
  <c r="BA69" i="44"/>
  <c r="BR69" i="44"/>
  <c r="AE69" i="44"/>
  <c r="Z75" i="1"/>
  <c r="W75" i="1"/>
  <c r="V75" i="1"/>
  <c r="AF76" i="1"/>
  <c r="AJ75" i="1"/>
  <c r="AI75" i="1"/>
  <c r="AD75" i="1"/>
  <c r="BF75" i="1"/>
  <c r="BS76" i="1"/>
  <c r="AY76" i="1"/>
  <c r="BH75" i="1"/>
  <c r="BC75" i="1"/>
  <c r="BB75" i="1"/>
  <c r="BM75" i="1"/>
  <c r="J76" i="1"/>
  <c r="BL75" i="1"/>
  <c r="S76" i="1"/>
  <c r="BS75" i="1"/>
  <c r="BR75" i="1"/>
  <c r="BP75" i="1"/>
  <c r="AP76" i="1"/>
  <c r="AW75" i="1"/>
  <c r="AT75" i="1"/>
  <c r="AS75" i="1"/>
  <c r="AN75" i="1"/>
  <c r="AM18" i="52"/>
  <c r="BH19" i="52"/>
  <c r="BM21" i="52"/>
  <c r="L18" i="52"/>
  <c r="T22" i="52"/>
  <c r="Z22" i="52"/>
  <c r="AV22" i="52"/>
  <c r="BI22" i="52"/>
  <c r="AS18" i="52"/>
  <c r="I20" i="52"/>
  <c r="L17" i="52"/>
  <c r="S22" i="52"/>
  <c r="Y22" i="52"/>
  <c r="AW22" i="52"/>
  <c r="BH22" i="52"/>
  <c r="AT18" i="52"/>
  <c r="Y20" i="52"/>
  <c r="B22" i="52"/>
  <c r="R22" i="52"/>
  <c r="X22" i="52"/>
  <c r="AX22" i="52"/>
  <c r="BG22" i="52"/>
  <c r="BC18" i="52"/>
  <c r="AO20" i="52"/>
  <c r="L22" i="52"/>
  <c r="Q22" i="52"/>
  <c r="AI22" i="52"/>
  <c r="AY22" i="52"/>
  <c r="BF22" i="52"/>
  <c r="BI18" i="52"/>
  <c r="BE20" i="52"/>
  <c r="K22" i="52"/>
  <c r="P22" i="52"/>
  <c r="AS22" i="52"/>
  <c r="AZ22" i="52"/>
  <c r="G21" i="52"/>
  <c r="J22" i="52"/>
  <c r="O22" i="52"/>
  <c r="AR22" i="52"/>
  <c r="BA22" i="52"/>
  <c r="I22" i="52"/>
  <c r="N22" i="52"/>
  <c r="AQ22" i="52"/>
  <c r="BB22" i="52"/>
  <c r="BG18" i="52"/>
  <c r="AG16" i="52"/>
  <c r="K19" i="52"/>
  <c r="Q21" i="52"/>
  <c r="H22" i="52"/>
  <c r="M22" i="52"/>
  <c r="AP22" i="52"/>
  <c r="BC22" i="52"/>
  <c r="AW16" i="52"/>
  <c r="U19" i="52"/>
  <c r="W21" i="52"/>
  <c r="G22" i="52"/>
  <c r="AH22" i="52"/>
  <c r="AO22" i="52"/>
  <c r="BD22" i="52"/>
  <c r="BM16" i="52"/>
  <c r="AA19" i="52"/>
  <c r="X21" i="52"/>
  <c r="F22" i="52"/>
  <c r="AG22" i="52"/>
  <c r="AN22" i="52"/>
  <c r="BE22" i="52"/>
  <c r="G18" i="52"/>
  <c r="AB19" i="52"/>
  <c r="AG21" i="52"/>
  <c r="E22" i="52"/>
  <c r="AF22" i="52"/>
  <c r="AM22" i="52"/>
  <c r="BO22" i="52"/>
  <c r="M18" i="52"/>
  <c r="AK19" i="52"/>
  <c r="AM21" i="52"/>
  <c r="D22" i="52"/>
  <c r="AE22" i="52"/>
  <c r="AL22" i="52"/>
  <c r="BN22" i="52"/>
  <c r="N18" i="52"/>
  <c r="AQ19" i="52"/>
  <c r="AN21" i="52"/>
  <c r="L16" i="52"/>
  <c r="P78" i="44" s="1"/>
  <c r="C22" i="52"/>
  <c r="AD22" i="52"/>
  <c r="AK22" i="52"/>
  <c r="BM22" i="52"/>
  <c r="W18" i="52"/>
  <c r="AR19" i="52"/>
  <c r="AW21" i="52"/>
  <c r="L21" i="52"/>
  <c r="W22" i="52"/>
  <c r="AC22" i="52"/>
  <c r="AJ22" i="52"/>
  <c r="BL22" i="52"/>
  <c r="AC18" i="52"/>
  <c r="BA19" i="52"/>
  <c r="BC21" i="52"/>
  <c r="L20" i="52"/>
  <c r="V22" i="52"/>
  <c r="AB22" i="52"/>
  <c r="AT22" i="52"/>
  <c r="BK22" i="52"/>
  <c r="AD18" i="52"/>
  <c r="BG19" i="52"/>
  <c r="BD21" i="52"/>
  <c r="L19" i="52"/>
  <c r="U22" i="52"/>
  <c r="AA22" i="52"/>
  <c r="AU22" i="52"/>
  <c r="BG70" i="44"/>
  <c r="BH70" i="44"/>
  <c r="Y70" i="44"/>
  <c r="L69" i="44"/>
  <c r="AI69" i="44"/>
  <c r="BC69" i="44"/>
  <c r="Z70" i="44"/>
  <c r="AA70" i="44"/>
  <c r="AT70" i="44"/>
  <c r="BF69" i="44"/>
  <c r="AU70" i="44"/>
  <c r="BG69" i="44"/>
  <c r="AV70" i="44"/>
  <c r="BP70" i="44"/>
  <c r="AP69" i="44"/>
  <c r="BM69" i="44"/>
  <c r="M70" i="44"/>
  <c r="BS70" i="44"/>
  <c r="V69" i="44"/>
  <c r="AQ69" i="44"/>
  <c r="BO69" i="44"/>
  <c r="N70" i="44"/>
  <c r="AI70" i="44"/>
  <c r="BG71" i="44"/>
  <c r="W69" i="44"/>
  <c r="AR69" i="44"/>
  <c r="BP69" i="44"/>
  <c r="O70" i="44"/>
  <c r="AJ70" i="44"/>
  <c r="Y69" i="44"/>
  <c r="AS69" i="44"/>
  <c r="BQ69" i="44"/>
  <c r="P70" i="44"/>
  <c r="AK70" i="44"/>
  <c r="AL70" i="44"/>
  <c r="BE70" i="44"/>
  <c r="BS69" i="44"/>
  <c r="BF70" i="44"/>
  <c r="AS67" i="44"/>
  <c r="AW67" i="44"/>
  <c r="BA67" i="44"/>
  <c r="I67" i="44"/>
  <c r="BC67" i="44"/>
  <c r="M67" i="44"/>
  <c r="BD67" i="44"/>
  <c r="U67" i="44"/>
  <c r="BE67" i="44"/>
  <c r="BM67" i="44"/>
  <c r="X67" i="44"/>
  <c r="BO67" i="44"/>
  <c r="W67" i="44"/>
  <c r="Y67" i="44"/>
  <c r="BQ67" i="44"/>
  <c r="BS67" i="44"/>
  <c r="AG67" i="44"/>
  <c r="AI67" i="44"/>
  <c r="AK67" i="44"/>
  <c r="K33" i="41"/>
  <c r="M68" i="44"/>
  <c r="AS68" i="44"/>
  <c r="M76" i="44"/>
  <c r="AC76" i="44"/>
  <c r="AS76" i="44"/>
  <c r="T67" i="44"/>
  <c r="AJ67" i="44"/>
  <c r="BP67" i="44"/>
  <c r="N68" i="44"/>
  <c r="AT68" i="44"/>
  <c r="X69" i="44"/>
  <c r="BD69" i="44"/>
  <c r="BH71" i="44"/>
  <c r="T75" i="44"/>
  <c r="AJ75" i="44"/>
  <c r="AZ75" i="44"/>
  <c r="BP75" i="44"/>
  <c r="N76" i="44"/>
  <c r="AD76" i="44"/>
  <c r="AT76" i="44"/>
  <c r="BJ76" i="44"/>
  <c r="O68" i="44"/>
  <c r="AU68" i="44"/>
  <c r="O76" i="44"/>
  <c r="AE76" i="44"/>
  <c r="AU76" i="44"/>
  <c r="BK76" i="44"/>
  <c r="V67" i="44"/>
  <c r="AL67" i="44"/>
  <c r="BB67" i="44"/>
  <c r="BR67" i="44"/>
  <c r="P68" i="44"/>
  <c r="AV68" i="44"/>
  <c r="V75" i="44"/>
  <c r="AL75" i="44"/>
  <c r="BB75" i="44"/>
  <c r="BR75" i="44"/>
  <c r="P76" i="44"/>
  <c r="AF76" i="44"/>
  <c r="AV76" i="44"/>
  <c r="BL76" i="44"/>
  <c r="AI68" i="44"/>
  <c r="BO68" i="44"/>
  <c r="S76" i="44"/>
  <c r="AI76" i="44"/>
  <c r="BO76" i="44"/>
  <c r="J67" i="44"/>
  <c r="Z67" i="44"/>
  <c r="AP67" i="44"/>
  <c r="BF67" i="44"/>
  <c r="AJ68" i="44"/>
  <c r="BP68" i="44"/>
  <c r="N69" i="44"/>
  <c r="AT69" i="44"/>
  <c r="X70" i="44"/>
  <c r="J75" i="44"/>
  <c r="Z75" i="44"/>
  <c r="AP75" i="44"/>
  <c r="BF75" i="44"/>
  <c r="T76" i="44"/>
  <c r="AJ76" i="44"/>
  <c r="AZ76" i="44"/>
  <c r="BP76" i="44"/>
  <c r="AH76" i="44"/>
  <c r="AY76" i="44"/>
  <c r="K67" i="44"/>
  <c r="AA67" i="44"/>
  <c r="AQ67" i="44"/>
  <c r="BG67" i="44"/>
  <c r="AK68" i="44"/>
  <c r="BQ68" i="44"/>
  <c r="K75" i="44"/>
  <c r="AA75" i="44"/>
  <c r="AQ75" i="44"/>
  <c r="BG75" i="44"/>
  <c r="U76" i="44"/>
  <c r="AK76" i="44"/>
  <c r="BA76" i="44"/>
  <c r="BQ76" i="44"/>
  <c r="L67" i="44"/>
  <c r="AR67" i="44"/>
  <c r="BH67" i="44"/>
  <c r="AL68" i="44"/>
  <c r="BR68" i="44"/>
  <c r="P69" i="44"/>
  <c r="AF69" i="44"/>
  <c r="AV69" i="44"/>
  <c r="BL69" i="44"/>
  <c r="L75" i="44"/>
  <c r="AR75" i="44"/>
  <c r="BH75" i="44"/>
  <c r="V76" i="44"/>
  <c r="AL76" i="44"/>
  <c r="BB76" i="44"/>
  <c r="BR76" i="44"/>
  <c r="R76" i="44"/>
  <c r="BN76" i="44"/>
  <c r="W68" i="44"/>
  <c r="BS68" i="44"/>
  <c r="G76" i="44"/>
  <c r="BS76" i="44"/>
  <c r="N67" i="44"/>
  <c r="AT67" i="44"/>
  <c r="X68" i="44"/>
  <c r="BD68" i="44"/>
  <c r="AH69" i="44"/>
  <c r="N75" i="44"/>
  <c r="AD75" i="44"/>
  <c r="AT75" i="44"/>
  <c r="BJ75" i="44"/>
  <c r="H76" i="44"/>
  <c r="X76" i="44"/>
  <c r="AN76" i="44"/>
  <c r="BD76" i="44"/>
  <c r="W76" i="44"/>
  <c r="BC76" i="44"/>
  <c r="O67" i="44"/>
  <c r="AE67" i="44"/>
  <c r="AU67" i="44"/>
  <c r="Y68" i="44"/>
  <c r="BE68" i="44"/>
  <c r="O75" i="44"/>
  <c r="AE75" i="44"/>
  <c r="AU75" i="44"/>
  <c r="BK75" i="44"/>
  <c r="I76" i="44"/>
  <c r="Y76" i="44"/>
  <c r="AO76" i="44"/>
  <c r="BE76" i="44"/>
  <c r="AH68" i="44"/>
  <c r="P67" i="44"/>
  <c r="AF67" i="44"/>
  <c r="AV67" i="44"/>
  <c r="BL67" i="44"/>
  <c r="Z68" i="44"/>
  <c r="BF68" i="44"/>
  <c r="P75" i="44"/>
  <c r="AF75" i="44"/>
  <c r="AV75" i="44"/>
  <c r="BL75" i="44"/>
  <c r="J76" i="44"/>
  <c r="Z76" i="44"/>
  <c r="AP76" i="44"/>
  <c r="BF76" i="44"/>
  <c r="AA68" i="44"/>
  <c r="BG68" i="44"/>
  <c r="K76" i="44"/>
  <c r="AA76" i="44"/>
  <c r="AQ76" i="44"/>
  <c r="BG76" i="44"/>
  <c r="AH67" i="44"/>
  <c r="L68" i="44"/>
  <c r="R75" i="44"/>
  <c r="AH75" i="44"/>
  <c r="L76" i="44"/>
  <c r="AR76" i="44"/>
  <c r="N70" i="1"/>
  <c r="AL69" i="1"/>
  <c r="AL68" i="1"/>
  <c r="H76" i="1"/>
  <c r="AA76" i="1"/>
  <c r="U75" i="1"/>
  <c r="Y68" i="1"/>
  <c r="AH75" i="1"/>
  <c r="AK68" i="1"/>
  <c r="AR75" i="1"/>
  <c r="BG76" i="1"/>
  <c r="BA75" i="1"/>
  <c r="BQ76" i="1"/>
  <c r="BK75" i="1"/>
  <c r="Z68" i="1"/>
  <c r="BH76" i="1"/>
  <c r="O75" i="1"/>
  <c r="Z76" i="1"/>
  <c r="T75" i="1"/>
  <c r="X68" i="1"/>
  <c r="AG75" i="1"/>
  <c r="AW76" i="1"/>
  <c r="AQ75" i="1"/>
  <c r="BF76" i="1"/>
  <c r="AZ75" i="1"/>
  <c r="BP76" i="1"/>
  <c r="BJ75" i="1"/>
  <c r="AA68" i="1"/>
  <c r="I76" i="1"/>
  <c r="L75" i="1"/>
  <c r="Y76" i="1"/>
  <c r="S75" i="1"/>
  <c r="AL76" i="1"/>
  <c r="AF75" i="1"/>
  <c r="AV76" i="1"/>
  <c r="AP75" i="1"/>
  <c r="BE76" i="1"/>
  <c r="AY75" i="1"/>
  <c r="BO76" i="1"/>
  <c r="BR76" i="1"/>
  <c r="G75" i="1"/>
  <c r="X76" i="1"/>
  <c r="R75" i="1"/>
  <c r="AK76" i="1"/>
  <c r="AE75" i="1"/>
  <c r="AU76" i="1"/>
  <c r="AO75" i="1"/>
  <c r="BD76" i="1"/>
  <c r="BN76" i="1"/>
  <c r="W76" i="1"/>
  <c r="AJ76" i="1"/>
  <c r="AT76" i="1"/>
  <c r="BC76" i="1"/>
  <c r="BM76" i="1"/>
  <c r="V76" i="1"/>
  <c r="AI76" i="1"/>
  <c r="AC75" i="1"/>
  <c r="AS76" i="1"/>
  <c r="BB76" i="1"/>
  <c r="BL76" i="1"/>
  <c r="U76" i="1"/>
  <c r="AH76" i="1"/>
  <c r="AR76" i="1"/>
  <c r="BA76" i="1"/>
  <c r="BK76" i="1"/>
  <c r="T76" i="1"/>
  <c r="AG76" i="1"/>
  <c r="AQ76" i="1"/>
  <c r="AZ76" i="1"/>
  <c r="BJ76" i="1"/>
  <c r="R76" i="1"/>
  <c r="AE76" i="1"/>
  <c r="AO76" i="1"/>
  <c r="AA75" i="1"/>
  <c r="AD76" i="1"/>
  <c r="AN76" i="1"/>
  <c r="BG75" i="1"/>
  <c r="BQ75" i="1"/>
  <c r="AC76" i="1"/>
  <c r="BR68" i="1"/>
  <c r="L76" i="1"/>
  <c r="Y75" i="1"/>
  <c r="Y69" i="1"/>
  <c r="AL75" i="1"/>
  <c r="AV75" i="1"/>
  <c r="BE75" i="1"/>
  <c r="BG68" i="1"/>
  <c r="BO75" i="1"/>
  <c r="BQ68" i="1"/>
  <c r="X75" i="1"/>
  <c r="AK75" i="1"/>
  <c r="AU75" i="1"/>
  <c r="BD75" i="1"/>
  <c r="BF68" i="1"/>
  <c r="BN75" i="1"/>
  <c r="AL71" i="1"/>
  <c r="BH71" i="1"/>
  <c r="BS71" i="1"/>
  <c r="AK71" i="1"/>
  <c r="BG71" i="1"/>
  <c r="AA71" i="1"/>
  <c r="AW71" i="1"/>
  <c r="Z71" i="1"/>
  <c r="AV71" i="1"/>
  <c r="BR71" i="1"/>
  <c r="BH70" i="1"/>
  <c r="AW70" i="1"/>
  <c r="AK70" i="1"/>
  <c r="AJ70" i="1"/>
  <c r="AA70" i="1"/>
  <c r="BE69" i="1"/>
  <c r="BQ69" i="1"/>
  <c r="BS69" i="1"/>
  <c r="AK69" i="1"/>
  <c r="AW69" i="1"/>
  <c r="AI69" i="1"/>
  <c r="AT69" i="1"/>
  <c r="BH69" i="1"/>
  <c r="BG69" i="1"/>
  <c r="AV69" i="1"/>
  <c r="BP69" i="1"/>
  <c r="AU69" i="1"/>
  <c r="BG70" i="1"/>
  <c r="BS70" i="1"/>
  <c r="AJ69" i="1"/>
  <c r="BF70" i="1"/>
  <c r="BR70" i="1"/>
  <c r="AA69" i="1"/>
  <c r="AV70" i="1"/>
  <c r="BQ70" i="1"/>
  <c r="Z69" i="1"/>
  <c r="AU70" i="1"/>
  <c r="X69" i="1"/>
  <c r="AL70" i="1"/>
  <c r="Z70" i="1"/>
  <c r="Y70" i="1"/>
  <c r="BF69" i="1"/>
  <c r="BR69" i="1"/>
  <c r="AV68" i="1"/>
  <c r="AJ68" i="1"/>
  <c r="AU68" i="1"/>
  <c r="AT68" i="1"/>
  <c r="BH68" i="1"/>
  <c r="BE68" i="1"/>
  <c r="BS68" i="1"/>
  <c r="O68" i="1"/>
  <c r="AI68" i="1"/>
  <c r="AW68" i="1"/>
  <c r="AL67" i="1"/>
  <c r="BS67" i="1"/>
  <c r="BR67" i="1"/>
  <c r="BH67" i="1"/>
  <c r="BQ67" i="1"/>
  <c r="BG67" i="1"/>
  <c r="BP67" i="1"/>
  <c r="AW67" i="1"/>
  <c r="BF67" i="1"/>
  <c r="BO67" i="1"/>
  <c r="BN67" i="1"/>
  <c r="AK67" i="1"/>
  <c r="AU67" i="1"/>
  <c r="BD67" i="1"/>
  <c r="AJ67" i="1"/>
  <c r="AT67" i="1"/>
  <c r="BC67" i="1"/>
  <c r="AV67" i="1"/>
  <c r="AA67" i="1"/>
  <c r="AI67" i="1"/>
  <c r="AS67" i="1"/>
  <c r="Z67" i="1"/>
  <c r="AH67" i="1"/>
  <c r="AR67" i="1"/>
  <c r="BE67" i="1"/>
  <c r="Y67" i="1"/>
  <c r="AG67" i="1"/>
  <c r="X67" i="1"/>
  <c r="P67" i="1"/>
  <c r="W67" i="1"/>
  <c r="V67" i="1"/>
  <c r="K67" i="1"/>
  <c r="P75" i="1"/>
  <c r="O69" i="1"/>
  <c r="N69" i="1"/>
  <c r="N75" i="1"/>
  <c r="M69" i="1"/>
  <c r="M75" i="1"/>
  <c r="P76" i="1"/>
  <c r="K75" i="1"/>
  <c r="O76" i="1"/>
  <c r="J75" i="1"/>
  <c r="N76" i="1"/>
  <c r="I75" i="1"/>
  <c r="P70" i="1"/>
  <c r="M76" i="1"/>
  <c r="O70" i="1"/>
  <c r="P68" i="1"/>
  <c r="O67" i="1"/>
  <c r="P71" i="1"/>
  <c r="N68" i="1"/>
  <c r="N67" i="1"/>
  <c r="M68" i="1"/>
  <c r="M67" i="1"/>
  <c r="G76" i="1"/>
  <c r="O71" i="1"/>
  <c r="AQ16" i="52"/>
  <c r="I17" i="52"/>
  <c r="Y17" i="52"/>
  <c r="BE17" i="52"/>
  <c r="P16" i="52"/>
  <c r="AF16" i="52"/>
  <c r="AV16" i="52"/>
  <c r="BL16" i="52"/>
  <c r="N17" i="52"/>
  <c r="AD17" i="52"/>
  <c r="AT17" i="52"/>
  <c r="BJ17" i="52"/>
  <c r="AB18" i="52"/>
  <c r="AR18" i="52"/>
  <c r="BH18" i="52"/>
  <c r="J19" i="52"/>
  <c r="Z19" i="52"/>
  <c r="AP19" i="52"/>
  <c r="BF19" i="52"/>
  <c r="H20" i="52"/>
  <c r="X20" i="52"/>
  <c r="AN20" i="52"/>
  <c r="BD20" i="52"/>
  <c r="F21" i="52"/>
  <c r="V21" i="52"/>
  <c r="AL21" i="52"/>
  <c r="BB21" i="52"/>
  <c r="AN78" i="1"/>
  <c r="BD78" i="1"/>
  <c r="Z20" i="52"/>
  <c r="C16" i="52"/>
  <c r="S16" i="52"/>
  <c r="AI16" i="52"/>
  <c r="AY16" i="52"/>
  <c r="BO16" i="52"/>
  <c r="Q17" i="52"/>
  <c r="AG17" i="52"/>
  <c r="AW17" i="52"/>
  <c r="BM17" i="52"/>
  <c r="O18" i="52"/>
  <c r="AE18" i="52"/>
  <c r="AU18" i="52"/>
  <c r="BK18" i="52"/>
  <c r="M19" i="52"/>
  <c r="AC19" i="52"/>
  <c r="AS19" i="52"/>
  <c r="BI19" i="52"/>
  <c r="K20" i="52"/>
  <c r="AA20" i="52"/>
  <c r="AQ20" i="52"/>
  <c r="BG20" i="52"/>
  <c r="I21" i="52"/>
  <c r="Y21" i="52"/>
  <c r="AO21" i="52"/>
  <c r="BE21" i="52"/>
  <c r="B16" i="52"/>
  <c r="AH16" i="52"/>
  <c r="P17" i="52"/>
  <c r="BF78" i="1"/>
  <c r="D16" i="52"/>
  <c r="T16" i="52"/>
  <c r="AJ16" i="52"/>
  <c r="AZ16" i="52"/>
  <c r="B17" i="52"/>
  <c r="R17" i="52"/>
  <c r="AH17" i="52"/>
  <c r="AX17" i="52"/>
  <c r="BN17" i="52"/>
  <c r="P18" i="52"/>
  <c r="AF18" i="52"/>
  <c r="AV18" i="52"/>
  <c r="BL18" i="52"/>
  <c r="N19" i="52"/>
  <c r="AD19" i="52"/>
  <c r="AT19" i="52"/>
  <c r="BJ19" i="52"/>
  <c r="AB20" i="52"/>
  <c r="AR20" i="52"/>
  <c r="BH20" i="52"/>
  <c r="J21" i="52"/>
  <c r="Z21" i="52"/>
  <c r="AP21" i="52"/>
  <c r="BF21" i="52"/>
  <c r="BH78" i="1"/>
  <c r="AX16" i="52"/>
  <c r="J20" i="52"/>
  <c r="AP20" i="52"/>
  <c r="BF20" i="52"/>
  <c r="E16" i="52"/>
  <c r="U16" i="52"/>
  <c r="AK16" i="52"/>
  <c r="BA16" i="52"/>
  <c r="C17" i="52"/>
  <c r="S17" i="52"/>
  <c r="AI17" i="52"/>
  <c r="AY17" i="52"/>
  <c r="BO17" i="52"/>
  <c r="Q18" i="52"/>
  <c r="AG18" i="52"/>
  <c r="AW18" i="52"/>
  <c r="BM18" i="52"/>
  <c r="O19" i="52"/>
  <c r="AE19" i="52"/>
  <c r="AU19" i="52"/>
  <c r="BK19" i="52"/>
  <c r="M20" i="52"/>
  <c r="AC20" i="52"/>
  <c r="AS20" i="52"/>
  <c r="BI20" i="52"/>
  <c r="K21" i="52"/>
  <c r="AA21" i="52"/>
  <c r="AQ21" i="52"/>
  <c r="BG21" i="52"/>
  <c r="BI78" i="1"/>
  <c r="AE17" i="52"/>
  <c r="R16" i="52"/>
  <c r="BN16" i="52"/>
  <c r="F16" i="52"/>
  <c r="V16" i="52"/>
  <c r="AL16" i="52"/>
  <c r="BB16" i="52"/>
  <c r="D17" i="52"/>
  <c r="T17" i="52"/>
  <c r="AJ17" i="52"/>
  <c r="AZ17" i="52"/>
  <c r="B18" i="52"/>
  <c r="R18" i="52"/>
  <c r="AH18" i="52"/>
  <c r="AX18" i="52"/>
  <c r="BN18" i="52"/>
  <c r="P19" i="52"/>
  <c r="AF19" i="52"/>
  <c r="AV19" i="52"/>
  <c r="BL19" i="52"/>
  <c r="N20" i="52"/>
  <c r="AD20" i="52"/>
  <c r="AT20" i="52"/>
  <c r="BJ20" i="52"/>
  <c r="AB21" i="52"/>
  <c r="AR21" i="52"/>
  <c r="BH21" i="52"/>
  <c r="AT78" i="1"/>
  <c r="AV17" i="52"/>
  <c r="G16" i="52"/>
  <c r="W16" i="52"/>
  <c r="AM16" i="52"/>
  <c r="BC16" i="52"/>
  <c r="E17" i="52"/>
  <c r="U17" i="52"/>
  <c r="AK17" i="52"/>
  <c r="BA17" i="52"/>
  <c r="C18" i="52"/>
  <c r="S18" i="52"/>
  <c r="AI18" i="52"/>
  <c r="AY18" i="52"/>
  <c r="BO18" i="52"/>
  <c r="Q19" i="52"/>
  <c r="AG19" i="52"/>
  <c r="AW19" i="52"/>
  <c r="BM19" i="52"/>
  <c r="O20" i="52"/>
  <c r="AE20" i="52"/>
  <c r="AU20" i="52"/>
  <c r="BK20" i="52"/>
  <c r="M21" i="52"/>
  <c r="AC21" i="52"/>
  <c r="AS21" i="52"/>
  <c r="BI21" i="52"/>
  <c r="AE78" i="1"/>
  <c r="AU78" i="1"/>
  <c r="H16" i="52"/>
  <c r="X16" i="52"/>
  <c r="AN16" i="52"/>
  <c r="BD16" i="52"/>
  <c r="F17" i="52"/>
  <c r="V17" i="52"/>
  <c r="AL17" i="52"/>
  <c r="BB17" i="52"/>
  <c r="D18" i="52"/>
  <c r="T18" i="52"/>
  <c r="AJ18" i="52"/>
  <c r="AZ18" i="52"/>
  <c r="B19" i="52"/>
  <c r="R19" i="52"/>
  <c r="AH19" i="52"/>
  <c r="AX19" i="52"/>
  <c r="BN19" i="52"/>
  <c r="P20" i="52"/>
  <c r="AF20" i="52"/>
  <c r="AV20" i="52"/>
  <c r="BL20" i="52"/>
  <c r="N21" i="52"/>
  <c r="AD21" i="52"/>
  <c r="AT21" i="52"/>
  <c r="BJ21" i="52"/>
  <c r="AV78" i="1"/>
  <c r="AO78" i="1"/>
  <c r="AF17" i="52"/>
  <c r="I16" i="52"/>
  <c r="Y16" i="52"/>
  <c r="AO16" i="52"/>
  <c r="BE16" i="52"/>
  <c r="G17" i="52"/>
  <c r="W17" i="52"/>
  <c r="AM17" i="52"/>
  <c r="BC17" i="52"/>
  <c r="E18" i="52"/>
  <c r="U18" i="52"/>
  <c r="AK18" i="52"/>
  <c r="BA18" i="52"/>
  <c r="C19" i="52"/>
  <c r="S19" i="52"/>
  <c r="AI19" i="52"/>
  <c r="AY19" i="52"/>
  <c r="BO19" i="52"/>
  <c r="Q20" i="52"/>
  <c r="AG20" i="52"/>
  <c r="AW20" i="52"/>
  <c r="BM20" i="52"/>
  <c r="O21" i="52"/>
  <c r="AE21" i="52"/>
  <c r="AU21" i="52"/>
  <c r="BK21" i="52"/>
  <c r="AG78" i="1"/>
  <c r="AW78" i="1"/>
  <c r="AW79" i="1" s="1"/>
  <c r="O17" i="52"/>
  <c r="BL17" i="52"/>
  <c r="J16" i="52"/>
  <c r="Z16" i="52"/>
  <c r="AP16" i="52"/>
  <c r="BF16" i="52"/>
  <c r="H17" i="52"/>
  <c r="X17" i="52"/>
  <c r="AN17" i="52"/>
  <c r="BD17" i="52"/>
  <c r="F18" i="52"/>
  <c r="V18" i="52"/>
  <c r="AL18" i="52"/>
  <c r="BB18" i="52"/>
  <c r="D19" i="52"/>
  <c r="T19" i="52"/>
  <c r="AJ19" i="52"/>
  <c r="AZ19" i="52"/>
  <c r="B20" i="52"/>
  <c r="R20" i="52"/>
  <c r="AH20" i="52"/>
  <c r="AX20" i="52"/>
  <c r="BN20" i="52"/>
  <c r="P21" i="52"/>
  <c r="AF21" i="52"/>
  <c r="AV21" i="52"/>
  <c r="BL21" i="52"/>
  <c r="BN78" i="1"/>
  <c r="BK17" i="52"/>
  <c r="AA16" i="52"/>
  <c r="C20" i="52"/>
  <c r="S20" i="52"/>
  <c r="AI20" i="52"/>
  <c r="AY20" i="52"/>
  <c r="BO20" i="52"/>
  <c r="AB16" i="52"/>
  <c r="AR16" i="52"/>
  <c r="BH16" i="52"/>
  <c r="J17" i="52"/>
  <c r="Z17" i="52"/>
  <c r="AP17" i="52"/>
  <c r="BF17" i="52"/>
  <c r="H18" i="52"/>
  <c r="X18" i="52"/>
  <c r="AN18" i="52"/>
  <c r="BD18" i="52"/>
  <c r="F19" i="52"/>
  <c r="V19" i="52"/>
  <c r="AL19" i="52"/>
  <c r="BB19" i="52"/>
  <c r="D20" i="52"/>
  <c r="T20" i="52"/>
  <c r="AJ20" i="52"/>
  <c r="AZ20" i="52"/>
  <c r="B21" i="52"/>
  <c r="R21" i="52"/>
  <c r="AH21" i="52"/>
  <c r="AX21" i="52"/>
  <c r="BN21" i="52"/>
  <c r="AJ78" i="1"/>
  <c r="AZ78" i="1"/>
  <c r="BG16" i="52"/>
  <c r="AO17" i="52"/>
  <c r="M16" i="52"/>
  <c r="AC16" i="52"/>
  <c r="AS16" i="52"/>
  <c r="BI16" i="52"/>
  <c r="K17" i="52"/>
  <c r="AA17" i="52"/>
  <c r="AQ17" i="52"/>
  <c r="BG17" i="52"/>
  <c r="I18" i="52"/>
  <c r="Y18" i="52"/>
  <c r="AO18" i="52"/>
  <c r="BE18" i="52"/>
  <c r="G19" i="52"/>
  <c r="W19" i="52"/>
  <c r="AM19" i="52"/>
  <c r="BC19" i="52"/>
  <c r="E20" i="52"/>
  <c r="U20" i="52"/>
  <c r="AK20" i="52"/>
  <c r="BA20" i="52"/>
  <c r="C21" i="52"/>
  <c r="S21" i="52"/>
  <c r="AI21" i="52"/>
  <c r="AY21" i="52"/>
  <c r="BO21" i="52"/>
  <c r="BA78" i="1"/>
  <c r="AU17" i="52"/>
  <c r="K16" i="52"/>
  <c r="AI78" i="1"/>
  <c r="N16" i="52"/>
  <c r="AD16" i="52"/>
  <c r="AT16" i="52"/>
  <c r="BJ16" i="52"/>
  <c r="AB17" i="52"/>
  <c r="AR17" i="52"/>
  <c r="BH17" i="52"/>
  <c r="J18" i="52"/>
  <c r="Z18" i="52"/>
  <c r="AP18" i="52"/>
  <c r="BF18" i="52"/>
  <c r="H19" i="52"/>
  <c r="X19" i="52"/>
  <c r="AN19" i="52"/>
  <c r="BD19" i="52"/>
  <c r="F20" i="52"/>
  <c r="V20" i="52"/>
  <c r="AL20" i="52"/>
  <c r="BB20" i="52"/>
  <c r="D21" i="52"/>
  <c r="T21" i="52"/>
  <c r="AJ21" i="52"/>
  <c r="AZ21" i="52"/>
  <c r="AL78" i="1"/>
  <c r="BB78" i="1"/>
  <c r="O16" i="52"/>
  <c r="AE16" i="52"/>
  <c r="AU16" i="52"/>
  <c r="M17" i="52"/>
  <c r="AC17" i="52"/>
  <c r="AS17" i="52"/>
  <c r="K18" i="52"/>
  <c r="AA18" i="52"/>
  <c r="AQ18" i="52"/>
  <c r="I19" i="52"/>
  <c r="Y19" i="52"/>
  <c r="AO19" i="52"/>
  <c r="G20" i="52"/>
  <c r="W20" i="52"/>
  <c r="AM20" i="52"/>
  <c r="E21" i="52"/>
  <c r="U21" i="52"/>
  <c r="AK21" i="52"/>
  <c r="AM78" i="1"/>
  <c r="BC78" i="1"/>
  <c r="J35" i="41"/>
  <c r="K30" i="41"/>
  <c r="J36" i="41"/>
  <c r="K11" i="41"/>
  <c r="K8" i="41"/>
  <c r="K10" i="41"/>
  <c r="K9" i="41"/>
  <c r="K12" i="41"/>
  <c r="J6" i="41"/>
  <c r="K5" i="41"/>
  <c r="K4" i="41"/>
  <c r="K7" i="41"/>
  <c r="K32" i="41"/>
  <c r="J29" i="41"/>
  <c r="K28" i="41"/>
  <c r="K31" i="41"/>
  <c r="K34" i="41"/>
  <c r="BG3" i="46"/>
  <c r="I110" i="1" l="1"/>
  <c r="I109" i="1"/>
  <c r="K109" i="1"/>
  <c r="K110" i="1"/>
  <c r="BI88" i="1"/>
  <c r="BI88" i="44"/>
  <c r="AR88" i="44"/>
  <c r="AR88" i="1"/>
  <c r="L88" i="44"/>
  <c r="L88" i="1"/>
  <c r="T88" i="1"/>
  <c r="T88" i="44"/>
  <c r="BP88" i="1"/>
  <c r="BP88" i="44"/>
  <c r="BR88" i="1"/>
  <c r="BR88" i="44"/>
  <c r="AK88" i="1"/>
  <c r="AK88" i="44"/>
  <c r="O88" i="44"/>
  <c r="O88" i="1"/>
  <c r="AY88" i="1"/>
  <c r="AY88" i="44"/>
  <c r="AN88" i="1"/>
  <c r="AN88" i="44"/>
  <c r="AP88" i="44"/>
  <c r="AP88" i="1"/>
  <c r="J88" i="1"/>
  <c r="J88" i="44"/>
  <c r="BL88" i="1"/>
  <c r="BL88" i="44"/>
  <c r="AT88" i="44"/>
  <c r="AT88" i="1"/>
  <c r="AE88" i="44"/>
  <c r="AE88" i="1"/>
  <c r="AG88" i="1"/>
  <c r="AG88" i="44"/>
  <c r="AI88" i="1"/>
  <c r="AI88" i="44"/>
  <c r="BA88" i="1"/>
  <c r="BA88" i="44"/>
  <c r="AW79" i="44"/>
  <c r="AW88" i="44"/>
  <c r="AW88" i="1"/>
  <c r="Y88" i="44"/>
  <c r="Y88" i="1"/>
  <c r="AA88" i="44"/>
  <c r="AA88" i="1"/>
  <c r="H88" i="1"/>
  <c r="H88" i="44"/>
  <c r="BJ88" i="44"/>
  <c r="BJ88" i="1"/>
  <c r="AC88" i="44"/>
  <c r="AC88" i="1"/>
  <c r="Q88" i="1"/>
  <c r="Q88" i="44"/>
  <c r="P85" i="44"/>
  <c r="P85" i="1"/>
  <c r="P87" i="44"/>
  <c r="P87" i="1"/>
  <c r="BF88" i="44"/>
  <c r="BF88" i="1"/>
  <c r="BC88" i="1"/>
  <c r="BC88" i="44"/>
  <c r="W78" i="1"/>
  <c r="W88" i="1"/>
  <c r="W88" i="44"/>
  <c r="BH88" i="44"/>
  <c r="BH88" i="1"/>
  <c r="AU88" i="44"/>
  <c r="AU88" i="1"/>
  <c r="AM88" i="1"/>
  <c r="AM88" i="44"/>
  <c r="P83" i="1"/>
  <c r="P83" i="44"/>
  <c r="BD88" i="1"/>
  <c r="BD88" i="44"/>
  <c r="AS88" i="44"/>
  <c r="AS88" i="1"/>
  <c r="R88" i="1"/>
  <c r="R88" i="44"/>
  <c r="U88" i="1"/>
  <c r="U88" i="44"/>
  <c r="F88" i="44"/>
  <c r="F88" i="1"/>
  <c r="BS79" i="44"/>
  <c r="BS88" i="1"/>
  <c r="BS88" i="44"/>
  <c r="AL88" i="1"/>
  <c r="AL88" i="44"/>
  <c r="M88" i="44"/>
  <c r="M88" i="1"/>
  <c r="P88" i="1"/>
  <c r="P88" i="44"/>
  <c r="BO88" i="1"/>
  <c r="BO88" i="44"/>
  <c r="BQ88" i="1"/>
  <c r="BQ88" i="44"/>
  <c r="AQ88" i="44"/>
  <c r="AQ88" i="1"/>
  <c r="K88" i="1"/>
  <c r="K88" i="44"/>
  <c r="BE88" i="44"/>
  <c r="BE88" i="1"/>
  <c r="BM88" i="1"/>
  <c r="BM88" i="44"/>
  <c r="AX88" i="1"/>
  <c r="AX88" i="44"/>
  <c r="AO88" i="44"/>
  <c r="AO88" i="1"/>
  <c r="AJ88" i="1"/>
  <c r="AJ88" i="44"/>
  <c r="AV88" i="1"/>
  <c r="AV88" i="44"/>
  <c r="AZ88" i="1"/>
  <c r="AZ88" i="44"/>
  <c r="V88" i="1"/>
  <c r="V88" i="44"/>
  <c r="AF88" i="1"/>
  <c r="AF88" i="44"/>
  <c r="AH88" i="1"/>
  <c r="AH88" i="44"/>
  <c r="I88" i="1"/>
  <c r="I88" i="44"/>
  <c r="S88" i="1"/>
  <c r="S88" i="44"/>
  <c r="BK88" i="44"/>
  <c r="BK88" i="1"/>
  <c r="AD88" i="44"/>
  <c r="AD88" i="1"/>
  <c r="Z88" i="44"/>
  <c r="Z88" i="1"/>
  <c r="G88" i="1"/>
  <c r="G88" i="44"/>
  <c r="N88" i="44"/>
  <c r="N88" i="1"/>
  <c r="BB88" i="1"/>
  <c r="BB88" i="44"/>
  <c r="X78" i="1"/>
  <c r="X88" i="1"/>
  <c r="X88" i="44"/>
  <c r="P86" i="44"/>
  <c r="P86" i="1"/>
  <c r="BG88" i="44"/>
  <c r="BG88" i="1"/>
  <c r="AB88" i="44"/>
  <c r="AB88" i="1"/>
  <c r="P84" i="1"/>
  <c r="P84" i="44"/>
  <c r="P78" i="1"/>
  <c r="BQ78" i="1"/>
  <c r="AX78" i="1"/>
  <c r="BJ78" i="1"/>
  <c r="BE78" i="1"/>
  <c r="BM78" i="1"/>
  <c r="AQ78" i="1"/>
  <c r="BO78" i="1"/>
  <c r="AC78" i="1"/>
  <c r="AR78" i="1"/>
  <c r="BS78" i="1"/>
  <c r="BS79" i="1" s="1"/>
  <c r="BG78" i="1"/>
  <c r="AD78" i="1"/>
  <c r="BK78" i="1"/>
  <c r="AY78" i="1"/>
  <c r="BL78" i="1"/>
  <c r="AP78" i="1"/>
  <c r="AF78" i="1"/>
  <c r="AH78" i="1"/>
  <c r="BR78" i="1"/>
  <c r="J78" i="1"/>
  <c r="Y78" i="1"/>
  <c r="AA78" i="1"/>
  <c r="AA79" i="1" s="1"/>
  <c r="AA79" i="44"/>
  <c r="H78" i="1"/>
  <c r="O78" i="1"/>
  <c r="R78" i="1"/>
  <c r="U78" i="1"/>
  <c r="BP78" i="1"/>
  <c r="M78" i="1"/>
  <c r="K78" i="1"/>
  <c r="K79" i="1" s="1"/>
  <c r="AK78" i="1"/>
  <c r="I78" i="1"/>
  <c r="S78" i="1"/>
  <c r="Z78" i="1"/>
  <c r="G78" i="1"/>
  <c r="N78" i="1"/>
  <c r="AB78" i="1"/>
  <c r="V78" i="1"/>
  <c r="Q78" i="1"/>
  <c r="AS78" i="1"/>
  <c r="L78" i="1"/>
  <c r="T78" i="1"/>
  <c r="F4" i="51"/>
  <c r="F5" i="51"/>
  <c r="F6" i="51"/>
  <c r="F7" i="51"/>
  <c r="F8" i="51"/>
  <c r="F3" i="51"/>
  <c r="E3" i="51"/>
  <c r="AR3" i="51"/>
  <c r="AR8" i="51"/>
  <c r="I109" i="44" l="1"/>
  <c r="I110" i="44"/>
  <c r="J110" i="44"/>
  <c r="J109" i="44"/>
  <c r="G110" i="44"/>
  <c r="G109" i="44"/>
  <c r="F110" i="44"/>
  <c r="F109" i="44"/>
  <c r="H110" i="44"/>
  <c r="H109" i="44"/>
  <c r="K110" i="44"/>
  <c r="K109" i="44"/>
  <c r="G109" i="1"/>
  <c r="G110" i="1"/>
  <c r="H110" i="1"/>
  <c r="H109" i="1"/>
  <c r="J110" i="1"/>
  <c r="J109" i="1"/>
  <c r="AH9" i="46"/>
  <c r="AI9" i="46" s="1"/>
  <c r="AJ9" i="46" s="1"/>
  <c r="AK9" i="46"/>
  <c r="AS4" i="51"/>
  <c r="AS5" i="51"/>
  <c r="AS6" i="51"/>
  <c r="AS7" i="51"/>
  <c r="AS8" i="51"/>
  <c r="AS3" i="51"/>
  <c r="BH3" i="46" l="1"/>
  <c r="BH4" i="46"/>
  <c r="BH5" i="46"/>
  <c r="BH6" i="46"/>
  <c r="BH7" i="46"/>
  <c r="BH8" i="46"/>
  <c r="X4" i="46" l="1"/>
  <c r="AA4" i="46" s="1"/>
  <c r="X5" i="46"/>
  <c r="AD5" i="46" s="1"/>
  <c r="X6" i="46"/>
  <c r="AD6" i="46" s="1"/>
  <c r="X7" i="46"/>
  <c r="AD7" i="46" s="1"/>
  <c r="X8" i="46"/>
  <c r="AA8" i="46" s="1"/>
  <c r="X9" i="46"/>
  <c r="X3" i="46"/>
  <c r="AD3" i="46" s="1"/>
  <c r="Q4" i="46"/>
  <c r="W4" i="46" s="1"/>
  <c r="Q5" i="46"/>
  <c r="V5" i="46" s="1"/>
  <c r="Q6" i="46"/>
  <c r="W6" i="46" s="1"/>
  <c r="Q7" i="46"/>
  <c r="W7" i="46" s="1"/>
  <c r="Q8" i="46"/>
  <c r="T8" i="46" s="1"/>
  <c r="Q9" i="46"/>
  <c r="W9" i="46" s="1"/>
  <c r="Q3" i="46"/>
  <c r="W3" i="46" s="1"/>
  <c r="BG4" i="46"/>
  <c r="BG5" i="46"/>
  <c r="BG6" i="46"/>
  <c r="BG7" i="46"/>
  <c r="BG8" i="46"/>
  <c r="J4" i="46"/>
  <c r="J5" i="46"/>
  <c r="P5" i="46" s="1"/>
  <c r="J6" i="46"/>
  <c r="P6" i="46" s="1"/>
  <c r="J7" i="46"/>
  <c r="P7" i="46" s="1"/>
  <c r="J8" i="46"/>
  <c r="O8" i="46" s="1"/>
  <c r="J9" i="46"/>
  <c r="J3" i="46"/>
  <c r="P3" i="46" s="1"/>
  <c r="AD9" i="46"/>
  <c r="AC9" i="46"/>
  <c r="AA9" i="46"/>
  <c r="AD8" i="46"/>
  <c r="AC8" i="46"/>
  <c r="AC7" i="46"/>
  <c r="AA7" i="46"/>
  <c r="AA3" i="46"/>
  <c r="T6" i="46"/>
  <c r="W5" i="46"/>
  <c r="T4" i="46"/>
  <c r="P9" i="46"/>
  <c r="O9" i="46"/>
  <c r="M9" i="46"/>
  <c r="P8" i="46"/>
  <c r="M8" i="46"/>
  <c r="P4" i="46"/>
  <c r="O4" i="46"/>
  <c r="M4" i="46"/>
  <c r="J34" i="15"/>
  <c r="L32" i="15"/>
  <c r="J32" i="15"/>
  <c r="K32" i="15"/>
  <c r="K36" i="15"/>
  <c r="L36" i="15"/>
  <c r="L35" i="15"/>
  <c r="K35" i="15"/>
  <c r="J36" i="15"/>
  <c r="J35" i="15"/>
  <c r="H36" i="15"/>
  <c r="G36" i="15"/>
  <c r="H35" i="15"/>
  <c r="G35" i="15"/>
  <c r="L33" i="15"/>
  <c r="K33" i="15"/>
  <c r="J33" i="15"/>
  <c r="H33" i="15"/>
  <c r="G33" i="15"/>
  <c r="G32" i="15"/>
  <c r="I23" i="15"/>
  <c r="J23" i="15" s="1"/>
  <c r="K23" i="15" s="1"/>
  <c r="I22" i="15"/>
  <c r="J20" i="15"/>
  <c r="L20" i="15" s="1"/>
  <c r="J21" i="15"/>
  <c r="K21" i="15" s="1"/>
  <c r="I19" i="15"/>
  <c r="J19" i="15" s="1"/>
  <c r="K19" i="15" s="1"/>
  <c r="I18" i="15"/>
  <c r="J18" i="15" s="1"/>
  <c r="K18" i="15" s="1"/>
  <c r="J16" i="15"/>
  <c r="K16" i="15" s="1"/>
  <c r="J17" i="15"/>
  <c r="K17" i="15" s="1"/>
  <c r="J12" i="15"/>
  <c r="K12" i="15" s="1"/>
  <c r="J13" i="15"/>
  <c r="K13" i="15" s="1"/>
  <c r="I15" i="15"/>
  <c r="J15" i="15" s="1"/>
  <c r="I14" i="15"/>
  <c r="J14" i="15" s="1"/>
  <c r="J5" i="15"/>
  <c r="L5" i="15" s="1"/>
  <c r="J8" i="15"/>
  <c r="K8" i="15" s="1"/>
  <c r="J9" i="15"/>
  <c r="L9" i="15" s="1"/>
  <c r="J4" i="15"/>
  <c r="K4" i="15" s="1"/>
  <c r="I11" i="15"/>
  <c r="J11" i="15" s="1"/>
  <c r="I10" i="15"/>
  <c r="J10" i="15" s="1"/>
  <c r="I7" i="15"/>
  <c r="J7" i="15" s="1"/>
  <c r="K7" i="15" s="1"/>
  <c r="I6" i="15"/>
  <c r="J6" i="15" s="1"/>
  <c r="E34" i="42"/>
  <c r="E35" i="42"/>
  <c r="E36" i="42"/>
  <c r="E37" i="42"/>
  <c r="E38" i="42"/>
  <c r="E39" i="42"/>
  <c r="E40" i="42"/>
  <c r="E41" i="42"/>
  <c r="E42" i="42"/>
  <c r="F52" i="44"/>
  <c r="F53" i="44"/>
  <c r="F54" i="44"/>
  <c r="F55" i="44"/>
  <c r="F56" i="44"/>
  <c r="F57" i="44"/>
  <c r="F58" i="44"/>
  <c r="F59" i="44"/>
  <c r="F60" i="44"/>
  <c r="F51" i="44"/>
  <c r="F52" i="1"/>
  <c r="F53" i="1"/>
  <c r="F54" i="1"/>
  <c r="F55" i="1"/>
  <c r="F56" i="1"/>
  <c r="F57" i="1"/>
  <c r="F58" i="1"/>
  <c r="F59" i="1"/>
  <c r="F60" i="1"/>
  <c r="F51" i="1"/>
  <c r="K36" i="42"/>
  <c r="K37" i="42"/>
  <c r="K38" i="42"/>
  <c r="K39" i="42"/>
  <c r="K40" i="42"/>
  <c r="K41" i="42"/>
  <c r="K42" i="42"/>
  <c r="K33" i="42"/>
  <c r="H4" i="46"/>
  <c r="H5" i="46"/>
  <c r="H6" i="46"/>
  <c r="H7" i="46"/>
  <c r="H8" i="46"/>
  <c r="H9" i="46"/>
  <c r="BD51" i="42" l="1"/>
  <c r="BO51" i="42"/>
  <c r="BP51" i="42"/>
  <c r="BF51" i="42"/>
  <c r="BQ51" i="42"/>
  <c r="BE51" i="42"/>
  <c r="AO54" i="42"/>
  <c r="AD54" i="42"/>
  <c r="BK54" i="42"/>
  <c r="AZ54" i="42"/>
  <c r="AS51" i="42"/>
  <c r="AT51" i="42"/>
  <c r="AU51" i="42"/>
  <c r="AH51" i="42"/>
  <c r="AI51" i="42"/>
  <c r="AJ51" i="42"/>
  <c r="H32" i="15"/>
  <c r="V6" i="46"/>
  <c r="AC3" i="46"/>
  <c r="M5" i="46"/>
  <c r="M6" i="46"/>
  <c r="O6" i="46"/>
  <c r="V8" i="46"/>
  <c r="W8" i="46"/>
  <c r="M3" i="46"/>
  <c r="T9" i="46"/>
  <c r="O3" i="46"/>
  <c r="T3" i="46"/>
  <c r="V9" i="46"/>
  <c r="V3" i="46"/>
  <c r="V4" i="46"/>
  <c r="O5" i="46"/>
  <c r="T5" i="46"/>
  <c r="AA5" i="46"/>
  <c r="AC5" i="46"/>
  <c r="AC4" i="46"/>
  <c r="AD4" i="46"/>
  <c r="AA6" i="46"/>
  <c r="AC6" i="46"/>
  <c r="V7" i="46"/>
  <c r="T7" i="46"/>
  <c r="O7" i="46"/>
  <c r="M7" i="46"/>
  <c r="L17" i="15"/>
  <c r="L8" i="15"/>
  <c r="L10" i="15"/>
  <c r="K10" i="15"/>
  <c r="L13" i="15"/>
  <c r="K20" i="15"/>
  <c r="L4" i="15"/>
  <c r="L12" i="15"/>
  <c r="K9" i="15"/>
  <c r="L14" i="15"/>
  <c r="K14" i="15"/>
  <c r="K15" i="15"/>
  <c r="L15" i="15"/>
  <c r="K6" i="15"/>
  <c r="L6" i="15"/>
  <c r="K11" i="15"/>
  <c r="L11" i="15"/>
  <c r="L23" i="15"/>
  <c r="L21" i="15"/>
  <c r="L16" i="15"/>
  <c r="L19" i="15"/>
  <c r="L18" i="15"/>
  <c r="K5" i="15"/>
  <c r="L7" i="15"/>
  <c r="D9" i="1" l="1"/>
  <c r="L52" i="44"/>
  <c r="L53" i="44"/>
  <c r="L54" i="44"/>
  <c r="L55" i="44"/>
  <c r="L56" i="44"/>
  <c r="L57" i="44"/>
  <c r="L58" i="44"/>
  <c r="L59" i="44"/>
  <c r="L60" i="44"/>
  <c r="L51" i="44"/>
  <c r="L52" i="1"/>
  <c r="L53" i="1"/>
  <c r="L54" i="1"/>
  <c r="L55" i="1"/>
  <c r="L56" i="1"/>
  <c r="L57" i="1"/>
  <c r="L58" i="1"/>
  <c r="L59" i="1"/>
  <c r="L60" i="1"/>
  <c r="L51" i="1"/>
  <c r="G39" i="41"/>
  <c r="H39" i="41" s="1"/>
  <c r="G40" i="41"/>
  <c r="I40" i="41" s="1"/>
  <c r="G41" i="41"/>
  <c r="I41" i="41" s="1"/>
  <c r="G42" i="41"/>
  <c r="I42" i="41" s="1"/>
  <c r="G43" i="41"/>
  <c r="J43" i="41" s="1"/>
  <c r="G44" i="41"/>
  <c r="J44" i="41" s="1"/>
  <c r="G45" i="41"/>
  <c r="J45" i="41" s="1"/>
  <c r="G46" i="41"/>
  <c r="K46" i="41" s="1"/>
  <c r="G47" i="41"/>
  <c r="K47" i="41" s="1"/>
  <c r="G38" i="41"/>
  <c r="G15" i="41"/>
  <c r="H15" i="41" s="1"/>
  <c r="G16" i="41"/>
  <c r="K16" i="41" s="1"/>
  <c r="G17" i="41"/>
  <c r="H17" i="41" s="1"/>
  <c r="G18" i="41"/>
  <c r="H18" i="41" s="1"/>
  <c r="G19" i="41"/>
  <c r="H19" i="41" s="1"/>
  <c r="G20" i="41"/>
  <c r="I20" i="41" s="1"/>
  <c r="G21" i="41"/>
  <c r="J21" i="41" s="1"/>
  <c r="G22" i="41"/>
  <c r="H22" i="41" s="1"/>
  <c r="G23" i="41"/>
  <c r="H23" i="41" s="1"/>
  <c r="I21" i="41" l="1"/>
  <c r="I19" i="41"/>
  <c r="I44" i="41"/>
  <c r="H44" i="41"/>
  <c r="H43" i="41"/>
  <c r="I45" i="41"/>
  <c r="H45" i="41"/>
  <c r="I43" i="41"/>
  <c r="J47" i="41"/>
  <c r="I47" i="41"/>
  <c r="H42" i="41"/>
  <c r="H47" i="41"/>
  <c r="H41" i="41"/>
  <c r="I46" i="41"/>
  <c r="H40" i="41"/>
  <c r="J46" i="41"/>
  <c r="H46" i="41"/>
  <c r="I16" i="41"/>
  <c r="K41" i="41"/>
  <c r="K44" i="41"/>
  <c r="J41" i="41"/>
  <c r="K40" i="41"/>
  <c r="K43" i="41"/>
  <c r="J40" i="41"/>
  <c r="J39" i="41"/>
  <c r="K45" i="41"/>
  <c r="J42" i="41"/>
  <c r="I39" i="41"/>
  <c r="K39" i="41"/>
  <c r="K42" i="41"/>
  <c r="K19" i="41"/>
  <c r="J19" i="41"/>
  <c r="K22" i="41"/>
  <c r="J22" i="41"/>
  <c r="K17" i="41"/>
  <c r="I22" i="41"/>
  <c r="J17" i="41"/>
  <c r="K23" i="41"/>
  <c r="I17" i="41"/>
  <c r="H20" i="41"/>
  <c r="J16" i="41"/>
  <c r="J20" i="41"/>
  <c r="H16" i="41"/>
  <c r="K20" i="41"/>
  <c r="J23" i="41"/>
  <c r="I23" i="41"/>
  <c r="K15" i="41"/>
  <c r="J15" i="41"/>
  <c r="K21" i="41"/>
  <c r="J18" i="41"/>
  <c r="I15" i="41"/>
  <c r="H21" i="41"/>
  <c r="K18" i="41"/>
  <c r="I18" i="41"/>
  <c r="AR4" i="51"/>
  <c r="AR5" i="51"/>
  <c r="AR6" i="51"/>
  <c r="AR7" i="51"/>
  <c r="AN4" i="51"/>
  <c r="AN5" i="51"/>
  <c r="AN6" i="51"/>
  <c r="AN7" i="51"/>
  <c r="AN8" i="51"/>
  <c r="AQ3" i="51" l="1"/>
  <c r="AQ8" i="51"/>
  <c r="AP8" i="51"/>
  <c r="AQ7" i="51"/>
  <c r="AP7" i="51"/>
  <c r="AQ6" i="51"/>
  <c r="AP6" i="51"/>
  <c r="AQ5" i="51"/>
  <c r="AP5" i="51"/>
  <c r="AQ4" i="51"/>
  <c r="AP4" i="51"/>
  <c r="AN3" i="51"/>
  <c r="AG7" i="51"/>
  <c r="AG6" i="51"/>
  <c r="AG4" i="51"/>
  <c r="AG5" i="51"/>
  <c r="AG8" i="51"/>
  <c r="AG3" i="51"/>
  <c r="AJ8" i="51"/>
  <c r="AI8" i="51"/>
  <c r="AJ7" i="51"/>
  <c r="AJ6" i="51"/>
  <c r="AJ4" i="51"/>
  <c r="AI4" i="51"/>
  <c r="AJ3" i="51"/>
  <c r="W8" i="51"/>
  <c r="S5" i="51"/>
  <c r="S6" i="51"/>
  <c r="S7" i="51"/>
  <c r="S8" i="51"/>
  <c r="W4" i="51"/>
  <c r="AB4" i="51" s="1"/>
  <c r="W5" i="51"/>
  <c r="AC5" i="51" s="1"/>
  <c r="W6" i="51"/>
  <c r="AB6" i="51" s="1"/>
  <c r="W7" i="51"/>
  <c r="AB7" i="51" s="1"/>
  <c r="AB8" i="51"/>
  <c r="W3" i="51"/>
  <c r="Z3" i="51" s="1"/>
  <c r="P4" i="51"/>
  <c r="V4" i="51" s="1"/>
  <c r="P5" i="51"/>
  <c r="V5" i="51" s="1"/>
  <c r="P6" i="51"/>
  <c r="V6" i="51" s="1"/>
  <c r="P7" i="51"/>
  <c r="V7" i="51" s="1"/>
  <c r="P8" i="51"/>
  <c r="U3" i="51"/>
  <c r="V8" i="51"/>
  <c r="U8" i="51"/>
  <c r="L8" i="51"/>
  <c r="O8" i="51"/>
  <c r="O7" i="51"/>
  <c r="N7" i="51"/>
  <c r="O6" i="51"/>
  <c r="L5" i="51"/>
  <c r="O4" i="51"/>
  <c r="O3" i="51"/>
  <c r="N3" i="51"/>
  <c r="G4" i="51"/>
  <c r="AV4" i="51" s="1"/>
  <c r="G6" i="51"/>
  <c r="AV6" i="51" s="1"/>
  <c r="G7" i="51"/>
  <c r="AV7" i="51" s="1"/>
  <c r="G8" i="51"/>
  <c r="AV8" i="51" s="1"/>
  <c r="H4" i="51"/>
  <c r="AW4" i="51" s="1"/>
  <c r="G5" i="51"/>
  <c r="AV5" i="51" s="1"/>
  <c r="E6" i="51"/>
  <c r="AT6" i="51" s="1"/>
  <c r="H7" i="51"/>
  <c r="AW7" i="51" s="1"/>
  <c r="H8" i="51"/>
  <c r="AW8" i="51" s="1"/>
  <c r="G3" i="51"/>
  <c r="AV3" i="51" s="1"/>
  <c r="H6" i="51" l="1"/>
  <c r="AW6" i="51" s="1"/>
  <c r="AT3" i="51"/>
  <c r="H5" i="51"/>
  <c r="AW5" i="51" s="1"/>
  <c r="E8" i="51"/>
  <c r="AT8" i="51" s="1"/>
  <c r="E7" i="51"/>
  <c r="AT7" i="51" s="1"/>
  <c r="S4" i="51"/>
  <c r="E4" i="51"/>
  <c r="AT4" i="51" s="1"/>
  <c r="V3" i="51"/>
  <c r="H3" i="51"/>
  <c r="AW3" i="51" s="1"/>
  <c r="E5" i="51"/>
  <c r="AT5" i="51" s="1"/>
  <c r="S3" i="51"/>
  <c r="AP3" i="51"/>
  <c r="AI5" i="51"/>
  <c r="AJ5" i="51"/>
  <c r="AI6" i="51"/>
  <c r="AI3" i="51"/>
  <c r="AI7" i="51"/>
  <c r="Z5" i="51"/>
  <c r="AB5" i="51"/>
  <c r="AC6" i="51"/>
  <c r="Z7" i="51"/>
  <c r="AC7" i="51"/>
  <c r="AB3" i="51"/>
  <c r="AC3" i="51"/>
  <c r="Z4" i="51"/>
  <c r="Z8" i="51"/>
  <c r="AC4" i="51"/>
  <c r="AC8" i="51"/>
  <c r="Z6" i="51"/>
  <c r="U5" i="51"/>
  <c r="U6" i="51"/>
  <c r="U7" i="51"/>
  <c r="U4" i="51"/>
  <c r="N8" i="51"/>
  <c r="N5" i="51"/>
  <c r="N4" i="51"/>
  <c r="O5" i="51"/>
  <c r="L6" i="51"/>
  <c r="N6" i="51"/>
  <c r="L4" i="51"/>
  <c r="L3" i="51"/>
  <c r="L7" i="51"/>
  <c r="H34" i="42" l="1"/>
  <c r="F34" i="42"/>
  <c r="G34" i="42"/>
  <c r="J34" i="42" s="1"/>
  <c r="M34" i="42"/>
  <c r="L34" i="42"/>
  <c r="H35" i="42"/>
  <c r="F35" i="42"/>
  <c r="G35" i="42"/>
  <c r="J35" i="42" s="1"/>
  <c r="M35" i="42"/>
  <c r="L35" i="42"/>
  <c r="H36" i="42"/>
  <c r="F36" i="42"/>
  <c r="G36" i="42"/>
  <c r="J36" i="42" s="1"/>
  <c r="M36" i="42"/>
  <c r="L36" i="42"/>
  <c r="H37" i="42"/>
  <c r="F37" i="42"/>
  <c r="G37" i="42"/>
  <c r="J37" i="42" s="1"/>
  <c r="I37" i="42"/>
  <c r="M37" i="42"/>
  <c r="L37" i="42"/>
  <c r="H38" i="42"/>
  <c r="F38" i="42"/>
  <c r="G38" i="42"/>
  <c r="J38" i="42" s="1"/>
  <c r="M38" i="42"/>
  <c r="L38" i="42"/>
  <c r="H39" i="42"/>
  <c r="F39" i="42"/>
  <c r="G39" i="42"/>
  <c r="J39" i="42" s="1"/>
  <c r="M39" i="42"/>
  <c r="L39" i="42"/>
  <c r="H40" i="42"/>
  <c r="F40" i="42"/>
  <c r="G40" i="42"/>
  <c r="J40" i="42" s="1"/>
  <c r="I40" i="42"/>
  <c r="M40" i="42"/>
  <c r="L40" i="42"/>
  <c r="H41" i="42"/>
  <c r="F41" i="42"/>
  <c r="G41" i="42"/>
  <c r="J41" i="42" s="1"/>
  <c r="M41" i="42"/>
  <c r="L41" i="42"/>
  <c r="H42" i="42"/>
  <c r="F42" i="42"/>
  <c r="G42" i="42"/>
  <c r="I42" i="42"/>
  <c r="J42" i="42"/>
  <c r="M42" i="42"/>
  <c r="L42" i="42"/>
  <c r="L33" i="42"/>
  <c r="M33" i="42"/>
  <c r="G33" i="42"/>
  <c r="J33" i="42" s="1"/>
  <c r="F33" i="42"/>
  <c r="D34" i="42"/>
  <c r="D35" i="42"/>
  <c r="D36" i="42"/>
  <c r="D37" i="42"/>
  <c r="D38" i="42"/>
  <c r="D39" i="42"/>
  <c r="D40" i="42"/>
  <c r="D41" i="42"/>
  <c r="D42" i="42"/>
  <c r="D33" i="42"/>
  <c r="C34" i="42"/>
  <c r="C35" i="42"/>
  <c r="C36" i="42"/>
  <c r="C37" i="42"/>
  <c r="C38" i="42"/>
  <c r="C39" i="42"/>
  <c r="C40" i="42"/>
  <c r="C41" i="42"/>
  <c r="C42" i="42"/>
  <c r="C33" i="42"/>
  <c r="B34" i="42"/>
  <c r="C52" i="42" s="1"/>
  <c r="B35" i="42"/>
  <c r="C53" i="42" s="1"/>
  <c r="B36" i="42"/>
  <c r="C54" i="42" s="1"/>
  <c r="B37" i="42"/>
  <c r="C55" i="42" s="1"/>
  <c r="B38" i="42"/>
  <c r="C56" i="42" s="1"/>
  <c r="B39" i="42"/>
  <c r="C57" i="42" s="1"/>
  <c r="B40" i="42"/>
  <c r="C58" i="42" s="1"/>
  <c r="B41" i="42"/>
  <c r="B42" i="42"/>
  <c r="B33" i="42"/>
  <c r="U57" i="42" l="1"/>
  <c r="I57" i="42"/>
  <c r="H57" i="42"/>
  <c r="R57" i="42"/>
  <c r="J57" i="42"/>
  <c r="G57" i="42"/>
  <c r="S57" i="42"/>
  <c r="T57" i="42"/>
  <c r="I56" i="42"/>
  <c r="H56" i="42"/>
  <c r="T56" i="42"/>
  <c r="S56" i="42"/>
  <c r="G56" i="42"/>
  <c r="H55" i="42"/>
  <c r="S55" i="42"/>
  <c r="I39" i="42"/>
  <c r="D57" i="42"/>
  <c r="N35" i="42"/>
  <c r="E53" i="42"/>
  <c r="D60" i="42"/>
  <c r="N39" i="42"/>
  <c r="E57" i="42"/>
  <c r="N38" i="42"/>
  <c r="E56" i="42"/>
  <c r="I35" i="42"/>
  <c r="D53" i="42"/>
  <c r="I33" i="42"/>
  <c r="D51" i="42"/>
  <c r="N34" i="42"/>
  <c r="E52" i="42"/>
  <c r="N36" i="42"/>
  <c r="E54" i="42"/>
  <c r="I36" i="42"/>
  <c r="D54" i="42"/>
  <c r="I41" i="42"/>
  <c r="D59" i="42"/>
  <c r="N41" i="42"/>
  <c r="E59" i="42"/>
  <c r="N40" i="42"/>
  <c r="E58" i="42"/>
  <c r="C51" i="42"/>
  <c r="Q51" i="42" s="1"/>
  <c r="C60" i="42"/>
  <c r="N33" i="42"/>
  <c r="E51" i="42"/>
  <c r="I34" i="42"/>
  <c r="D52" i="42"/>
  <c r="N37" i="42"/>
  <c r="E55" i="42"/>
  <c r="C59" i="42"/>
  <c r="N42" i="42"/>
  <c r="E60" i="42"/>
  <c r="D58" i="42"/>
  <c r="D55" i="42"/>
  <c r="I38" i="42"/>
  <c r="D56" i="42"/>
  <c r="F58" i="42"/>
  <c r="Q58" i="42"/>
  <c r="R54" i="42"/>
  <c r="Q54" i="42"/>
  <c r="S54" i="42"/>
  <c r="F56" i="42"/>
  <c r="Q56" i="42"/>
  <c r="F57" i="42"/>
  <c r="Q57" i="42"/>
  <c r="F53" i="42"/>
  <c r="R53" i="42"/>
  <c r="Q53" i="42"/>
  <c r="G53" i="42"/>
  <c r="Q52" i="42"/>
  <c r="G52" i="42"/>
  <c r="R52" i="42"/>
  <c r="S52" i="42"/>
  <c r="H52" i="42"/>
  <c r="F52" i="42"/>
  <c r="F60" i="42"/>
  <c r="Q60" i="42"/>
  <c r="S51" i="42"/>
  <c r="G51" i="42"/>
  <c r="T51" i="42"/>
  <c r="W51" i="42"/>
  <c r="M51" i="42"/>
  <c r="Y51" i="42"/>
  <c r="X51" i="42"/>
  <c r="N51" i="42"/>
  <c r="L51" i="42"/>
  <c r="R51" i="42"/>
  <c r="Q59" i="42"/>
  <c r="F59" i="42"/>
  <c r="G55" i="42"/>
  <c r="R55" i="42"/>
  <c r="F55" i="42"/>
  <c r="Q55" i="42"/>
  <c r="H54" i="42"/>
  <c r="F54" i="42"/>
  <c r="G54" i="42"/>
  <c r="H33" i="42"/>
  <c r="AW5" i="46"/>
  <c r="AW4" i="46"/>
  <c r="AW3" i="46"/>
  <c r="AP5" i="46"/>
  <c r="AP4" i="46"/>
  <c r="AP3" i="46"/>
  <c r="B52" i="44"/>
  <c r="B53" i="44"/>
  <c r="B54" i="44"/>
  <c r="B55" i="44"/>
  <c r="B56" i="44"/>
  <c r="B57" i="44"/>
  <c r="B58" i="44"/>
  <c r="B59" i="44"/>
  <c r="B60" i="44"/>
  <c r="B51" i="44"/>
  <c r="B52" i="1"/>
  <c r="B53" i="1"/>
  <c r="B54" i="1"/>
  <c r="B55" i="1"/>
  <c r="B56" i="1"/>
  <c r="B57" i="1"/>
  <c r="B58" i="1"/>
  <c r="B59" i="1"/>
  <c r="B60" i="1"/>
  <c r="N55" i="1"/>
  <c r="BB57" i="42" l="1"/>
  <c r="AZ57" i="42"/>
  <c r="BM57" i="42"/>
  <c r="BK57" i="42"/>
  <c r="BL57" i="42"/>
  <c r="AY57" i="42"/>
  <c r="BA57" i="42"/>
  <c r="BJ57" i="42"/>
  <c r="AQ57" i="42"/>
  <c r="AO57" i="42"/>
  <c r="AD57" i="42"/>
  <c r="AP57" i="42"/>
  <c r="AE57" i="42"/>
  <c r="AC57" i="42"/>
  <c r="AN57" i="42"/>
  <c r="AF57" i="42"/>
  <c r="AP56" i="42"/>
  <c r="AN56" i="42"/>
  <c r="AO56" i="42"/>
  <c r="AE56" i="42"/>
  <c r="AD56" i="42"/>
  <c r="AC56" i="42"/>
  <c r="BA56" i="42"/>
  <c r="BJ56" i="42"/>
  <c r="AY56" i="42"/>
  <c r="BK56" i="42"/>
  <c r="BL56" i="42"/>
  <c r="AZ56" i="42"/>
  <c r="AD55" i="42"/>
  <c r="AO55" i="42"/>
  <c r="AN55" i="42"/>
  <c r="AC55" i="42"/>
  <c r="AZ55" i="42"/>
  <c r="BK55" i="42"/>
  <c r="AY55" i="42"/>
  <c r="BJ55" i="42"/>
  <c r="AO51" i="42"/>
  <c r="AN51" i="42"/>
  <c r="AD51" i="42"/>
  <c r="AP51" i="42"/>
  <c r="AC51" i="42"/>
  <c r="AF51" i="42"/>
  <c r="AR51" i="42"/>
  <c r="AQ51" i="42"/>
  <c r="AG51" i="42"/>
  <c r="AE51" i="42"/>
  <c r="F51" i="42"/>
  <c r="H51" i="42"/>
  <c r="I51" i="42"/>
  <c r="K51" i="42"/>
  <c r="J51" i="42"/>
  <c r="U51" i="42"/>
  <c r="AY51" i="42"/>
  <c r="BM51" i="42"/>
  <c r="BC51" i="42"/>
  <c r="BN51" i="42"/>
  <c r="BJ51" i="42"/>
  <c r="AZ51" i="42"/>
  <c r="BL51" i="42"/>
  <c r="BK51" i="42"/>
  <c r="BB51" i="42"/>
  <c r="BA51" i="42"/>
  <c r="V51" i="42"/>
  <c r="AN54" i="42"/>
  <c r="AC54" i="42"/>
  <c r="AY54" i="42"/>
  <c r="BJ54" i="42"/>
  <c r="AY52" i="42"/>
  <c r="AZ52" i="42"/>
  <c r="BK52" i="42"/>
  <c r="BJ52" i="42"/>
  <c r="BI52" i="42"/>
  <c r="AX52" i="42"/>
  <c r="AM53" i="42"/>
  <c r="AN53" i="42"/>
  <c r="AB53" i="42"/>
  <c r="AC53" i="42"/>
  <c r="BI56" i="42"/>
  <c r="AX56" i="42"/>
  <c r="BI59" i="42"/>
  <c r="AX59" i="42"/>
  <c r="BI57" i="42"/>
  <c r="AX57" i="42"/>
  <c r="AB55" i="42"/>
  <c r="AM55" i="42"/>
  <c r="AX51" i="42"/>
  <c r="BI51" i="42"/>
  <c r="AB59" i="42"/>
  <c r="AM59" i="42"/>
  <c r="AB60" i="42"/>
  <c r="AM60" i="42"/>
  <c r="AB51" i="42"/>
  <c r="AM51" i="42"/>
  <c r="BI60" i="42"/>
  <c r="AX60" i="42"/>
  <c r="BJ53" i="42"/>
  <c r="AY53" i="42"/>
  <c r="AX53" i="42"/>
  <c r="BI53" i="42"/>
  <c r="AB54" i="42"/>
  <c r="AM54" i="42"/>
  <c r="AX58" i="42"/>
  <c r="BI58" i="42"/>
  <c r="AB58" i="42"/>
  <c r="AM58" i="42"/>
  <c r="AB57" i="42"/>
  <c r="AM57" i="42"/>
  <c r="AD52" i="42"/>
  <c r="AM52" i="42"/>
  <c r="AN52" i="42"/>
  <c r="AO52" i="42"/>
  <c r="AC52" i="42"/>
  <c r="AB52" i="42"/>
  <c r="AX55" i="42"/>
  <c r="BI55" i="42"/>
  <c r="BI54" i="42"/>
  <c r="AX54" i="42"/>
  <c r="AB56" i="42"/>
  <c r="AM56" i="42"/>
  <c r="S10" i="48"/>
  <c r="M10" i="48"/>
  <c r="F10" i="48"/>
  <c r="S9" i="48"/>
  <c r="M9" i="48"/>
  <c r="F9" i="48"/>
  <c r="S8" i="48"/>
  <c r="M8" i="48"/>
  <c r="F8" i="48"/>
  <c r="S7" i="48"/>
  <c r="M7" i="48"/>
  <c r="F7" i="48"/>
  <c r="S6" i="48"/>
  <c r="M6" i="48"/>
  <c r="F6" i="48"/>
  <c r="S5" i="48"/>
  <c r="M5" i="48"/>
  <c r="F5" i="48"/>
  <c r="S4" i="48"/>
  <c r="M4" i="48"/>
  <c r="F4" i="48"/>
  <c r="D10" i="1"/>
  <c r="M52" i="44" l="1"/>
  <c r="E68" i="44" s="1"/>
  <c r="M53" i="44"/>
  <c r="E69" i="44" s="1"/>
  <c r="M54" i="44"/>
  <c r="E70" i="44" s="1"/>
  <c r="M55" i="44"/>
  <c r="M56" i="44"/>
  <c r="M57" i="44"/>
  <c r="M58" i="44"/>
  <c r="M59" i="44"/>
  <c r="M60" i="44"/>
  <c r="M51" i="44"/>
  <c r="K59" i="44"/>
  <c r="K60" i="44"/>
  <c r="K51" i="44"/>
  <c r="H52" i="44"/>
  <c r="K52" i="44" s="1"/>
  <c r="H53" i="44"/>
  <c r="K53" i="44" s="1"/>
  <c r="H54" i="44"/>
  <c r="K54" i="44" s="1"/>
  <c r="H55" i="44"/>
  <c r="K55" i="44" s="1"/>
  <c r="H56" i="44"/>
  <c r="K56" i="44" s="1"/>
  <c r="H57" i="44"/>
  <c r="K57" i="44" s="1"/>
  <c r="H58" i="44"/>
  <c r="K58" i="44" s="1"/>
  <c r="H59" i="44"/>
  <c r="H60" i="44"/>
  <c r="H51" i="44"/>
  <c r="C51" i="44"/>
  <c r="C52" i="44"/>
  <c r="C53" i="44"/>
  <c r="C54" i="44"/>
  <c r="C55" i="44"/>
  <c r="C56" i="44"/>
  <c r="C57" i="44"/>
  <c r="D52" i="44"/>
  <c r="D53" i="44"/>
  <c r="D54" i="44"/>
  <c r="D55" i="44"/>
  <c r="D56" i="44"/>
  <c r="D57" i="44"/>
  <c r="D58" i="44"/>
  <c r="D59" i="44"/>
  <c r="D60" i="44"/>
  <c r="D51" i="44"/>
  <c r="D51" i="1"/>
  <c r="C67" i="1" s="1"/>
  <c r="F67" i="1" s="1"/>
  <c r="C72" i="44" l="1"/>
  <c r="E56" i="44"/>
  <c r="BB70" i="44"/>
  <c r="BK70" i="44"/>
  <c r="BC70" i="44"/>
  <c r="AX70" i="44"/>
  <c r="BL70" i="44"/>
  <c r="BN70" i="44"/>
  <c r="AZ70" i="44"/>
  <c r="BI70" i="44"/>
  <c r="AY70" i="44"/>
  <c r="BO70" i="44"/>
  <c r="BM70" i="44"/>
  <c r="BJ70" i="44"/>
  <c r="BD70" i="44"/>
  <c r="BA70" i="44"/>
  <c r="O55" i="44"/>
  <c r="E71" i="44"/>
  <c r="BC68" i="44"/>
  <c r="BL68" i="44"/>
  <c r="BN68" i="44"/>
  <c r="AZ68" i="44"/>
  <c r="BM68" i="44"/>
  <c r="AX68" i="44"/>
  <c r="BA68" i="44"/>
  <c r="BJ68" i="44"/>
  <c r="BI68" i="44"/>
  <c r="AY68" i="44"/>
  <c r="BK68" i="44"/>
  <c r="BB68" i="44"/>
  <c r="C73" i="44"/>
  <c r="E57" i="44"/>
  <c r="E55" i="44"/>
  <c r="C71" i="44"/>
  <c r="E51" i="44"/>
  <c r="C67" i="44"/>
  <c r="E54" i="44"/>
  <c r="C70" i="44"/>
  <c r="O60" i="44"/>
  <c r="E76" i="44"/>
  <c r="O53" i="44"/>
  <c r="E52" i="44"/>
  <c r="C68" i="44"/>
  <c r="O51" i="44"/>
  <c r="E67" i="44"/>
  <c r="L61" i="44"/>
  <c r="O59" i="44"/>
  <c r="E75" i="44"/>
  <c r="O56" i="44"/>
  <c r="E72" i="44"/>
  <c r="BI69" i="44"/>
  <c r="AX69" i="44"/>
  <c r="BK69" i="44"/>
  <c r="BJ69" i="44"/>
  <c r="AY69" i="44"/>
  <c r="AZ69" i="44"/>
  <c r="O52" i="44"/>
  <c r="C69" i="44"/>
  <c r="O58" i="44"/>
  <c r="E74" i="44"/>
  <c r="O54" i="44"/>
  <c r="O57" i="44"/>
  <c r="E73" i="44"/>
  <c r="G67" i="1"/>
  <c r="R67" i="1"/>
  <c r="U67" i="1"/>
  <c r="H67" i="1"/>
  <c r="Q67" i="1"/>
  <c r="J67" i="1"/>
  <c r="T67" i="1"/>
  <c r="I67" i="1"/>
  <c r="S67" i="1"/>
  <c r="E53" i="44"/>
  <c r="M51" i="1"/>
  <c r="E67" i="1" s="1"/>
  <c r="H51" i="1"/>
  <c r="M52" i="1"/>
  <c r="M53" i="1"/>
  <c r="M54" i="1"/>
  <c r="M55" i="1"/>
  <c r="M56" i="1"/>
  <c r="M57" i="1"/>
  <c r="M58" i="1"/>
  <c r="M59" i="1"/>
  <c r="M60" i="1"/>
  <c r="H52" i="1"/>
  <c r="K52" i="1" s="1"/>
  <c r="H53" i="1"/>
  <c r="K53" i="1" s="1"/>
  <c r="H54" i="1"/>
  <c r="K54" i="1" s="1"/>
  <c r="H55" i="1"/>
  <c r="K55" i="1" s="1"/>
  <c r="H56" i="1"/>
  <c r="K56" i="1" s="1"/>
  <c r="H57" i="1"/>
  <c r="K57" i="1" s="1"/>
  <c r="H58" i="1"/>
  <c r="K58" i="1" s="1"/>
  <c r="H59" i="1"/>
  <c r="K59" i="1" s="1"/>
  <c r="H60" i="1"/>
  <c r="K60" i="1" s="1"/>
  <c r="G51" i="1"/>
  <c r="D52" i="1"/>
  <c r="D53" i="1"/>
  <c r="D54" i="1"/>
  <c r="D55" i="1"/>
  <c r="D56" i="1"/>
  <c r="D57" i="1"/>
  <c r="D58" i="1"/>
  <c r="D59" i="1"/>
  <c r="D60" i="1"/>
  <c r="AY67" i="44" l="1"/>
  <c r="AZ67" i="44"/>
  <c r="BJ67" i="44"/>
  <c r="BK67" i="44"/>
  <c r="G67" i="44"/>
  <c r="H67" i="44"/>
  <c r="R67" i="44"/>
  <c r="S67" i="44"/>
  <c r="BC73" i="44"/>
  <c r="BK73" i="44"/>
  <c r="BE73" i="44"/>
  <c r="BM73" i="44"/>
  <c r="BL73" i="44"/>
  <c r="BR73" i="44"/>
  <c r="BH73" i="44"/>
  <c r="BS73" i="44"/>
  <c r="BA73" i="44"/>
  <c r="BD73" i="44"/>
  <c r="AZ73" i="44"/>
  <c r="BP73" i="44"/>
  <c r="AY73" i="44"/>
  <c r="AX73" i="44"/>
  <c r="BN73" i="44"/>
  <c r="BI73" i="44"/>
  <c r="BG73" i="44"/>
  <c r="BQ73" i="44"/>
  <c r="BJ73" i="44"/>
  <c r="BF73" i="44"/>
  <c r="BO73" i="44"/>
  <c r="BB73" i="44"/>
  <c r="Z73" i="44"/>
  <c r="M73" i="44"/>
  <c r="V73" i="44"/>
  <c r="F73" i="44"/>
  <c r="G73" i="44"/>
  <c r="T73" i="44"/>
  <c r="J73" i="44"/>
  <c r="P73" i="44"/>
  <c r="U73" i="44"/>
  <c r="W73" i="44"/>
  <c r="Q73" i="44"/>
  <c r="H73" i="44"/>
  <c r="I73" i="44"/>
  <c r="O73" i="44"/>
  <c r="X73" i="44"/>
  <c r="N73" i="44"/>
  <c r="Y73" i="44"/>
  <c r="R73" i="44"/>
  <c r="K73" i="44"/>
  <c r="S73" i="44"/>
  <c r="L73" i="44"/>
  <c r="AA73" i="44"/>
  <c r="AX76" i="44"/>
  <c r="BI76" i="44"/>
  <c r="BI67" i="44"/>
  <c r="AX67" i="44"/>
  <c r="AX75" i="44"/>
  <c r="BI75" i="44"/>
  <c r="S70" i="44"/>
  <c r="I70" i="44"/>
  <c r="K70" i="44"/>
  <c r="F70" i="44"/>
  <c r="U70" i="44"/>
  <c r="R70" i="44"/>
  <c r="Q70" i="44"/>
  <c r="W70" i="44"/>
  <c r="V70" i="44"/>
  <c r="H70" i="44"/>
  <c r="L70" i="44"/>
  <c r="G70" i="44"/>
  <c r="T70" i="44"/>
  <c r="J70" i="44"/>
  <c r="G68" i="44"/>
  <c r="K68" i="44"/>
  <c r="V68" i="44"/>
  <c r="U68" i="44"/>
  <c r="S68" i="44"/>
  <c r="Q68" i="44"/>
  <c r="F68" i="44"/>
  <c r="J68" i="44"/>
  <c r="T68" i="44"/>
  <c r="H68" i="44"/>
  <c r="I68" i="44"/>
  <c r="R68" i="44"/>
  <c r="F67" i="44"/>
  <c r="Q67" i="44"/>
  <c r="BL72" i="44"/>
  <c r="BC72" i="44"/>
  <c r="BN72" i="44"/>
  <c r="AZ72" i="44"/>
  <c r="BD72" i="44"/>
  <c r="AX72" i="44"/>
  <c r="BP72" i="44"/>
  <c r="BO72" i="44"/>
  <c r="BB72" i="44"/>
  <c r="BA72" i="44"/>
  <c r="BK72" i="44"/>
  <c r="BE72" i="44"/>
  <c r="BI72" i="44"/>
  <c r="BM72" i="44"/>
  <c r="AY72" i="44"/>
  <c r="BR72" i="44"/>
  <c r="BH72" i="44"/>
  <c r="BQ72" i="44"/>
  <c r="BS72" i="44"/>
  <c r="BG72" i="44"/>
  <c r="BG77" i="44" s="1"/>
  <c r="BF72" i="44"/>
  <c r="BJ72" i="44"/>
  <c r="L71" i="44"/>
  <c r="M71" i="44"/>
  <c r="U71" i="44"/>
  <c r="V71" i="44"/>
  <c r="F71" i="44"/>
  <c r="W71" i="44"/>
  <c r="Y71" i="44"/>
  <c r="R71" i="44"/>
  <c r="G71" i="44"/>
  <c r="H71" i="44"/>
  <c r="X71" i="44"/>
  <c r="T71" i="44"/>
  <c r="S71" i="44"/>
  <c r="N71" i="44"/>
  <c r="K71" i="44"/>
  <c r="J71" i="44"/>
  <c r="I71" i="44"/>
  <c r="Q71" i="44"/>
  <c r="BJ71" i="44"/>
  <c r="AX71" i="44"/>
  <c r="BN71" i="44"/>
  <c r="BC71" i="44"/>
  <c r="BC77" i="44" s="1"/>
  <c r="AZ71" i="44"/>
  <c r="BQ71" i="44"/>
  <c r="BP71" i="44"/>
  <c r="BL71" i="44"/>
  <c r="AY71" i="44"/>
  <c r="BK71" i="44"/>
  <c r="BI71" i="44"/>
  <c r="BD71" i="44"/>
  <c r="BE71" i="44"/>
  <c r="BF71" i="44"/>
  <c r="BF77" i="44" s="1"/>
  <c r="BM71" i="44"/>
  <c r="BM77" i="44" s="1"/>
  <c r="BO71" i="44"/>
  <c r="BO77" i="44" s="1"/>
  <c r="BB71" i="44"/>
  <c r="BA71" i="44"/>
  <c r="BA77" i="44" s="1"/>
  <c r="BM74" i="44"/>
  <c r="BJ74" i="44"/>
  <c r="BL74" i="44"/>
  <c r="BS74" i="44"/>
  <c r="BK74" i="44"/>
  <c r="BF74" i="44"/>
  <c r="BG74" i="44"/>
  <c r="BN74" i="44"/>
  <c r="BQ74" i="44"/>
  <c r="BI74" i="44"/>
  <c r="BH74" i="44"/>
  <c r="BP74" i="44"/>
  <c r="BR74" i="44"/>
  <c r="BE74" i="44"/>
  <c r="AZ74" i="44"/>
  <c r="AX74" i="44"/>
  <c r="BO74" i="44"/>
  <c r="BC74" i="44"/>
  <c r="BD74" i="44"/>
  <c r="BA74" i="44"/>
  <c r="BB74" i="44"/>
  <c r="AY74" i="44"/>
  <c r="F69" i="44"/>
  <c r="R69" i="44"/>
  <c r="Q69" i="44"/>
  <c r="H69" i="44"/>
  <c r="G69" i="44"/>
  <c r="S69" i="44"/>
  <c r="O72" i="44"/>
  <c r="K72" i="44"/>
  <c r="J72" i="44"/>
  <c r="X72" i="44"/>
  <c r="Q72" i="44"/>
  <c r="L72" i="44"/>
  <c r="R72" i="44"/>
  <c r="AA72" i="44"/>
  <c r="I72" i="44"/>
  <c r="N72" i="44"/>
  <c r="U72" i="44"/>
  <c r="Y72" i="44"/>
  <c r="F72" i="44"/>
  <c r="T72" i="44"/>
  <c r="M72" i="44"/>
  <c r="S72" i="44"/>
  <c r="V72" i="44"/>
  <c r="H72" i="44"/>
  <c r="P72" i="44"/>
  <c r="G72" i="44"/>
  <c r="W72" i="44"/>
  <c r="Z72" i="44"/>
  <c r="D67" i="1"/>
  <c r="AM67" i="1" s="1"/>
  <c r="BM67" i="1"/>
  <c r="AY67" i="1"/>
  <c r="BL67" i="1"/>
  <c r="AZ67" i="1"/>
  <c r="AX67" i="1"/>
  <c r="BB67" i="1"/>
  <c r="BK67" i="1"/>
  <c r="BI67" i="1"/>
  <c r="BA67" i="1"/>
  <c r="BJ67" i="1"/>
  <c r="AF67" i="1"/>
  <c r="AQ67" i="1"/>
  <c r="AP67" i="1"/>
  <c r="AE67" i="1"/>
  <c r="O57" i="1"/>
  <c r="E73" i="1"/>
  <c r="O59" i="1"/>
  <c r="E75" i="1"/>
  <c r="O53" i="1"/>
  <c r="E69" i="1"/>
  <c r="O56" i="1"/>
  <c r="E72" i="1"/>
  <c r="O58" i="1"/>
  <c r="E74" i="1"/>
  <c r="O54" i="1"/>
  <c r="E70" i="1"/>
  <c r="O60" i="1"/>
  <c r="E76" i="1"/>
  <c r="O55" i="1"/>
  <c r="E71" i="1"/>
  <c r="O52" i="1"/>
  <c r="E68" i="1"/>
  <c r="O51" i="1"/>
  <c r="L61" i="1"/>
  <c r="K51" i="1"/>
  <c r="BK77" i="44" l="1"/>
  <c r="BN77" i="44"/>
  <c r="AY77" i="44"/>
  <c r="AY94" i="44" s="1"/>
  <c r="BE77" i="44"/>
  <c r="BL77" i="44"/>
  <c r="BL92" i="44" s="1"/>
  <c r="BD77" i="44"/>
  <c r="BD93" i="44" s="1"/>
  <c r="BJ77" i="44"/>
  <c r="BJ94" i="44" s="1"/>
  <c r="BS77" i="44"/>
  <c r="BS91" i="44" s="1"/>
  <c r="AZ77" i="44"/>
  <c r="AZ79" i="44" s="1"/>
  <c r="BB77" i="44"/>
  <c r="BB92" i="44" s="1"/>
  <c r="AN67" i="1"/>
  <c r="AD67" i="1"/>
  <c r="AC67" i="1"/>
  <c r="AO67" i="1"/>
  <c r="AY93" i="44"/>
  <c r="AY91" i="44"/>
  <c r="BA79" i="44"/>
  <c r="BA94" i="44"/>
  <c r="BA90" i="44"/>
  <c r="BA93" i="44"/>
  <c r="BA91" i="44"/>
  <c r="BA92" i="44"/>
  <c r="BA89" i="44"/>
  <c r="BK92" i="44"/>
  <c r="BK90" i="44"/>
  <c r="BK79" i="44"/>
  <c r="BK89" i="44"/>
  <c r="BK91" i="44"/>
  <c r="BK93" i="44"/>
  <c r="BK94" i="44"/>
  <c r="BL94" i="44"/>
  <c r="BL89" i="44"/>
  <c r="BM89" i="44"/>
  <c r="BM93" i="44"/>
  <c r="BM79" i="44"/>
  <c r="BM94" i="44"/>
  <c r="BM91" i="44"/>
  <c r="BM90" i="44"/>
  <c r="BM92" i="44"/>
  <c r="BJ90" i="44"/>
  <c r="BJ79" i="44"/>
  <c r="BD79" i="44"/>
  <c r="BD90" i="44"/>
  <c r="BD94" i="44"/>
  <c r="BD92" i="44"/>
  <c r="BO79" i="44"/>
  <c r="BO93" i="44"/>
  <c r="BO91" i="44"/>
  <c r="BO89" i="44"/>
  <c r="BO94" i="44"/>
  <c r="BO92" i="44"/>
  <c r="BO90" i="44"/>
  <c r="BN79" i="44"/>
  <c r="BN91" i="44"/>
  <c r="BN89" i="44"/>
  <c r="BN94" i="44"/>
  <c r="BN92" i="44"/>
  <c r="BN93" i="44"/>
  <c r="BN90" i="44"/>
  <c r="BF79" i="44"/>
  <c r="BF92" i="44"/>
  <c r="BF90" i="44"/>
  <c r="BF89" i="44"/>
  <c r="BF93" i="44"/>
  <c r="BF91" i="44"/>
  <c r="BF94" i="44"/>
  <c r="BE90" i="44"/>
  <c r="BE93" i="44"/>
  <c r="BE91" i="44"/>
  <c r="BE89" i="44"/>
  <c r="BE79" i="44"/>
  <c r="BE94" i="44"/>
  <c r="BE92" i="44"/>
  <c r="BG89" i="44"/>
  <c r="BG92" i="44"/>
  <c r="BG79" i="44"/>
  <c r="BG90" i="44"/>
  <c r="BG91" i="44"/>
  <c r="BG93" i="44"/>
  <c r="BG94" i="44"/>
  <c r="BS89" i="44"/>
  <c r="BS93" i="44"/>
  <c r="BS90" i="44"/>
  <c r="BS94" i="44"/>
  <c r="BH77" i="44"/>
  <c r="BR77" i="44"/>
  <c r="BP77" i="44"/>
  <c r="BQ77" i="44"/>
  <c r="AX77" i="44"/>
  <c r="J111" i="44" s="1"/>
  <c r="J112" i="44" s="1"/>
  <c r="BC92" i="44"/>
  <c r="BC89" i="44"/>
  <c r="BC90" i="44"/>
  <c r="BC79" i="44"/>
  <c r="BC93" i="44"/>
  <c r="BC94" i="44"/>
  <c r="BC91" i="44"/>
  <c r="BI77" i="44"/>
  <c r="K111" i="44" s="1"/>
  <c r="K112" i="44" s="1"/>
  <c r="AB67" i="1"/>
  <c r="BD69" i="1"/>
  <c r="BO69" i="1"/>
  <c r="BE70" i="1"/>
  <c r="BP70" i="1"/>
  <c r="BD74" i="1"/>
  <c r="BK74" i="1"/>
  <c r="BQ74" i="1"/>
  <c r="BN74" i="1"/>
  <c r="BA74" i="1"/>
  <c r="AY74" i="1"/>
  <c r="BE74" i="1"/>
  <c r="BH74" i="1"/>
  <c r="BO74" i="1"/>
  <c r="BR74" i="1"/>
  <c r="BB74" i="1"/>
  <c r="BJ74" i="1"/>
  <c r="BG74" i="1"/>
  <c r="BF74" i="1"/>
  <c r="BL74" i="1"/>
  <c r="BC74" i="1"/>
  <c r="BS74" i="1"/>
  <c r="BM74" i="1"/>
  <c r="BP74" i="1"/>
  <c r="AZ74" i="1"/>
  <c r="BQ73" i="1"/>
  <c r="BG73" i="1"/>
  <c r="BL73" i="1"/>
  <c r="BE73" i="1"/>
  <c r="BS73" i="1"/>
  <c r="BD73" i="1"/>
  <c r="BP73" i="1"/>
  <c r="BN73" i="1"/>
  <c r="BR73" i="1"/>
  <c r="BF73" i="1"/>
  <c r="BC73" i="1"/>
  <c r="BA73" i="1"/>
  <c r="AZ73" i="1"/>
  <c r="AY73" i="1"/>
  <c r="BM73" i="1"/>
  <c r="BB73" i="1"/>
  <c r="BK73" i="1"/>
  <c r="BJ73" i="1"/>
  <c r="BO73" i="1"/>
  <c r="BH73" i="1"/>
  <c r="BG72" i="1"/>
  <c r="BF72" i="1"/>
  <c r="BE72" i="1"/>
  <c r="BR72" i="1"/>
  <c r="BQ72" i="1"/>
  <c r="BS72" i="1"/>
  <c r="BH72" i="1"/>
  <c r="BP72" i="1"/>
  <c r="BF71" i="1"/>
  <c r="BE71" i="1"/>
  <c r="BP71" i="1"/>
  <c r="BQ71" i="1"/>
  <c r="BC70" i="1"/>
  <c r="BO70" i="1"/>
  <c r="BM70" i="1"/>
  <c r="BN70" i="1"/>
  <c r="BB70" i="1"/>
  <c r="BD70" i="1"/>
  <c r="BM69" i="1"/>
  <c r="AY69" i="1"/>
  <c r="BC69" i="1"/>
  <c r="BJ69" i="1"/>
  <c r="BK69" i="1"/>
  <c r="AZ69" i="1"/>
  <c r="BB69" i="1"/>
  <c r="BL69" i="1"/>
  <c r="BA69" i="1"/>
  <c r="BN69" i="1"/>
  <c r="AX73" i="1"/>
  <c r="BI73" i="1"/>
  <c r="BI76" i="1"/>
  <c r="AX76" i="1"/>
  <c r="BI74" i="1"/>
  <c r="AX74" i="1"/>
  <c r="AX75" i="1"/>
  <c r="BI75" i="1"/>
  <c r="BL68" i="1"/>
  <c r="BA68" i="1"/>
  <c r="BB68" i="1"/>
  <c r="AY68" i="1"/>
  <c r="AZ68" i="1"/>
  <c r="BO68" i="1"/>
  <c r="BC68" i="1"/>
  <c r="BD68" i="1"/>
  <c r="BM68" i="1"/>
  <c r="BN68" i="1"/>
  <c r="BI68" i="1"/>
  <c r="BK68" i="1"/>
  <c r="AX68" i="1"/>
  <c r="BJ68" i="1"/>
  <c r="AY72" i="1"/>
  <c r="BJ72" i="1"/>
  <c r="BI72" i="1"/>
  <c r="AZ72" i="1"/>
  <c r="BK72" i="1"/>
  <c r="BB72" i="1"/>
  <c r="BL72" i="1"/>
  <c r="BC72" i="1"/>
  <c r="BM72" i="1"/>
  <c r="BD72" i="1"/>
  <c r="AX72" i="1"/>
  <c r="BA72" i="1"/>
  <c r="BN72" i="1"/>
  <c r="BO72" i="1"/>
  <c r="BL71" i="1"/>
  <c r="BJ71" i="1"/>
  <c r="BO71" i="1"/>
  <c r="BC71" i="1"/>
  <c r="AY71" i="1"/>
  <c r="BB71" i="1"/>
  <c r="AX71" i="1"/>
  <c r="BN71" i="1"/>
  <c r="BA71" i="1"/>
  <c r="BM71" i="1"/>
  <c r="BK71" i="1"/>
  <c r="AZ71" i="1"/>
  <c r="BD71" i="1"/>
  <c r="BI71" i="1"/>
  <c r="BL70" i="1"/>
  <c r="BA70" i="1"/>
  <c r="AZ70" i="1"/>
  <c r="BK70" i="1"/>
  <c r="AY70" i="1"/>
  <c r="BJ70" i="1"/>
  <c r="BI70" i="1"/>
  <c r="AX70" i="1"/>
  <c r="BI69" i="1"/>
  <c r="AX69" i="1"/>
  <c r="H2" i="45"/>
  <c r="H1" i="45"/>
  <c r="H1" i="44"/>
  <c r="H1" i="42"/>
  <c r="H2" i="44"/>
  <c r="H2" i="42"/>
  <c r="AX9" i="46"/>
  <c r="AX7" i="46"/>
  <c r="AX6" i="46"/>
  <c r="AX5" i="46"/>
  <c r="AX4" i="46"/>
  <c r="AX3" i="46"/>
  <c r="AQ9" i="46"/>
  <c r="AQ8" i="46"/>
  <c r="AQ7" i="46"/>
  <c r="AQ6" i="46"/>
  <c r="AQ5" i="46"/>
  <c r="AQ4" i="46"/>
  <c r="BE3" i="46"/>
  <c r="BE4" i="46"/>
  <c r="BE5" i="46"/>
  <c r="BE9" i="46"/>
  <c r="BE7" i="46"/>
  <c r="BE8" i="46"/>
  <c r="BE6" i="46"/>
  <c r="AQ3" i="46"/>
  <c r="H3" i="46"/>
  <c r="BS92" i="44" l="1"/>
  <c r="BB94" i="44"/>
  <c r="BL79" i="44"/>
  <c r="BD91" i="44"/>
  <c r="BL91" i="44"/>
  <c r="AY79" i="44"/>
  <c r="BB91" i="44"/>
  <c r="BD89" i="44"/>
  <c r="BL93" i="44"/>
  <c r="BL90" i="44"/>
  <c r="BJ91" i="44"/>
  <c r="AY92" i="44"/>
  <c r="BJ93" i="44"/>
  <c r="AY89" i="44"/>
  <c r="BJ92" i="44"/>
  <c r="BJ89" i="44"/>
  <c r="AY90" i="44"/>
  <c r="AZ91" i="44"/>
  <c r="AZ90" i="44"/>
  <c r="BB93" i="44"/>
  <c r="AZ92" i="44"/>
  <c r="BB90" i="44"/>
  <c r="AZ94" i="44"/>
  <c r="BB89" i="44"/>
  <c r="BB79" i="44"/>
  <c r="AZ93" i="44"/>
  <c r="AZ89" i="44"/>
  <c r="BH94" i="44"/>
  <c r="BH93" i="44"/>
  <c r="BH79" i="44"/>
  <c r="BH90" i="44"/>
  <c r="BH89" i="44"/>
  <c r="BH92" i="44"/>
  <c r="BH91" i="44"/>
  <c r="AX101" i="44"/>
  <c r="AX91" i="44"/>
  <c r="AX102" i="44"/>
  <c r="AX79" i="44"/>
  <c r="AX93" i="44"/>
  <c r="AX90" i="44"/>
  <c r="AX89" i="44"/>
  <c r="AX92" i="44"/>
  <c r="AX97" i="44"/>
  <c r="AX99" i="44"/>
  <c r="AX98" i="44"/>
  <c r="AX100" i="44"/>
  <c r="AX94" i="44"/>
  <c r="BQ94" i="44"/>
  <c r="BQ79" i="44"/>
  <c r="BQ93" i="44"/>
  <c r="BQ90" i="44"/>
  <c r="BQ92" i="44"/>
  <c r="BQ91" i="44"/>
  <c r="BQ89" i="44"/>
  <c r="BP91" i="44"/>
  <c r="BP90" i="44"/>
  <c r="BP89" i="44"/>
  <c r="BP79" i="44"/>
  <c r="BP94" i="44"/>
  <c r="BP92" i="44"/>
  <c r="BP93" i="44"/>
  <c r="BR90" i="44"/>
  <c r="BR91" i="44"/>
  <c r="BR94" i="44"/>
  <c r="BR79" i="44"/>
  <c r="BR93" i="44"/>
  <c r="BR89" i="44"/>
  <c r="BR92" i="44"/>
  <c r="BI92" i="44"/>
  <c r="BI99" i="44"/>
  <c r="BI90" i="44"/>
  <c r="BI89" i="44"/>
  <c r="BI93" i="44"/>
  <c r="BI100" i="44"/>
  <c r="BI97" i="44"/>
  <c r="BI91" i="44"/>
  <c r="BI102" i="44"/>
  <c r="BI98" i="44"/>
  <c r="BI79" i="44"/>
  <c r="BI101" i="44"/>
  <c r="BI94" i="44"/>
  <c r="BH77" i="1"/>
  <c r="BS77" i="1"/>
  <c r="BQ77" i="1"/>
  <c r="BP77" i="1"/>
  <c r="BE77" i="1"/>
  <c r="BG77" i="1"/>
  <c r="BF77" i="1"/>
  <c r="BR77" i="1"/>
  <c r="BL77" i="1"/>
  <c r="BA77" i="1"/>
  <c r="BJ77" i="1"/>
  <c r="BD77" i="1"/>
  <c r="BM77" i="1"/>
  <c r="BC77" i="1"/>
  <c r="BN77" i="1"/>
  <c r="BB77" i="1"/>
  <c r="BO77" i="1"/>
  <c r="AY77" i="1"/>
  <c r="BK77" i="1"/>
  <c r="BI77" i="1"/>
  <c r="K111" i="1" s="1"/>
  <c r="K112" i="1" s="1"/>
  <c r="AZ77" i="1"/>
  <c r="AX77" i="1"/>
  <c r="J111" i="1" s="1"/>
  <c r="J112" i="1" s="1"/>
  <c r="AX8" i="46"/>
  <c r="AZ99" i="44" l="1"/>
  <c r="AZ102" i="44"/>
  <c r="AZ97" i="44"/>
  <c r="AZ98" i="44"/>
  <c r="AZ101" i="44"/>
  <c r="C36" i="45"/>
  <c r="BK101" i="44"/>
  <c r="BK100" i="44"/>
  <c r="BJ104" i="44"/>
  <c r="AY104" i="44"/>
  <c r="C37" i="45"/>
  <c r="AZ100" i="44"/>
  <c r="BE89" i="1"/>
  <c r="BE90" i="1"/>
  <c r="BE91" i="1"/>
  <c r="BE93" i="1"/>
  <c r="BE92" i="1"/>
  <c r="BE94" i="1"/>
  <c r="BP90" i="1"/>
  <c r="BP92" i="1"/>
  <c r="BP91" i="1"/>
  <c r="BP93" i="1"/>
  <c r="BP94" i="1"/>
  <c r="BP89" i="1"/>
  <c r="BF89" i="1"/>
  <c r="BF92" i="1"/>
  <c r="BF90" i="1"/>
  <c r="BF91" i="1"/>
  <c r="BF93" i="1"/>
  <c r="BF94" i="1"/>
  <c r="AZ90" i="1"/>
  <c r="AZ91" i="1"/>
  <c r="AZ92" i="1"/>
  <c r="AZ93" i="1"/>
  <c r="AZ94" i="1"/>
  <c r="AZ89" i="1"/>
  <c r="BS90" i="1"/>
  <c r="BS91" i="1"/>
  <c r="BS92" i="1"/>
  <c r="BS93" i="1"/>
  <c r="BS94" i="1"/>
  <c r="BS89" i="1"/>
  <c r="BR89" i="1"/>
  <c r="BR90" i="1"/>
  <c r="BR91" i="1"/>
  <c r="BR92" i="1"/>
  <c r="BR93" i="1"/>
  <c r="BR94" i="1"/>
  <c r="BG89" i="1"/>
  <c r="BG91" i="1"/>
  <c r="BG90" i="1"/>
  <c r="BG92" i="1"/>
  <c r="BG93" i="1"/>
  <c r="BG94" i="1"/>
  <c r="AY91" i="1"/>
  <c r="AY93" i="1"/>
  <c r="AY92" i="1"/>
  <c r="AY94" i="1"/>
  <c r="AY90" i="1"/>
  <c r="AY89" i="1"/>
  <c r="BC90" i="1"/>
  <c r="BC91" i="1"/>
  <c r="BC92" i="1"/>
  <c r="BC94" i="1"/>
  <c r="BC93" i="1"/>
  <c r="BC89" i="1"/>
  <c r="BL94" i="1"/>
  <c r="BL89" i="1"/>
  <c r="BL90" i="1"/>
  <c r="BL91" i="1"/>
  <c r="BL92" i="1"/>
  <c r="BL93" i="1"/>
  <c r="BI89" i="1"/>
  <c r="BI90" i="1"/>
  <c r="BI91" i="1"/>
  <c r="BI92" i="1"/>
  <c r="BI93" i="1"/>
  <c r="BI94" i="1"/>
  <c r="BO91" i="1"/>
  <c r="BO92" i="1"/>
  <c r="BO93" i="1"/>
  <c r="BO94" i="1"/>
  <c r="BO89" i="1"/>
  <c r="BO90" i="1"/>
  <c r="BN92" i="1"/>
  <c r="BN93" i="1"/>
  <c r="BN94" i="1"/>
  <c r="BN89" i="1"/>
  <c r="BN90" i="1"/>
  <c r="BN91" i="1"/>
  <c r="BM93" i="1"/>
  <c r="BM94" i="1"/>
  <c r="BM89" i="1"/>
  <c r="BM90" i="1"/>
  <c r="BM91" i="1"/>
  <c r="BM92" i="1"/>
  <c r="BA89" i="1"/>
  <c r="BA90" i="1"/>
  <c r="BA91" i="1"/>
  <c r="BA92" i="1"/>
  <c r="BA93" i="1"/>
  <c r="BA94" i="1"/>
  <c r="BK89" i="1"/>
  <c r="BK90" i="1"/>
  <c r="BK91" i="1"/>
  <c r="BK92" i="1"/>
  <c r="BK93" i="1"/>
  <c r="BK94" i="1"/>
  <c r="BB89" i="1"/>
  <c r="BB90" i="1"/>
  <c r="BB91" i="1"/>
  <c r="BB92" i="1"/>
  <c r="BB93" i="1"/>
  <c r="BB94" i="1"/>
  <c r="BD89" i="1"/>
  <c r="BD90" i="1"/>
  <c r="BD91" i="1"/>
  <c r="BD94" i="1"/>
  <c r="BD92" i="1"/>
  <c r="BD93" i="1"/>
  <c r="AX92" i="1"/>
  <c r="AX93" i="1"/>
  <c r="AX89" i="1"/>
  <c r="AX91" i="1"/>
  <c r="AX90" i="1"/>
  <c r="AX94" i="1"/>
  <c r="BQ89" i="1"/>
  <c r="BQ90" i="1"/>
  <c r="BQ91" i="1"/>
  <c r="BQ92" i="1"/>
  <c r="BQ93" i="1"/>
  <c r="BQ94" i="1"/>
  <c r="BH90" i="1"/>
  <c r="BH89" i="1"/>
  <c r="BH91" i="1"/>
  <c r="BH92" i="1"/>
  <c r="BH94" i="1"/>
  <c r="BH93" i="1"/>
  <c r="BJ89" i="1"/>
  <c r="BJ90" i="1"/>
  <c r="BJ91" i="1"/>
  <c r="BJ92" i="1"/>
  <c r="BJ93" i="1"/>
  <c r="BJ94" i="1"/>
  <c r="BK97" i="44"/>
  <c r="BK102" i="44"/>
  <c r="BK98" i="44"/>
  <c r="BK99" i="44"/>
  <c r="BJ79" i="1"/>
  <c r="BN79" i="1"/>
  <c r="BB79" i="1"/>
  <c r="BA79" i="1"/>
  <c r="BP79" i="1"/>
  <c r="BM79" i="1"/>
  <c r="BR79" i="1"/>
  <c r="AZ79" i="1"/>
  <c r="BQ79" i="1"/>
  <c r="BC79" i="1"/>
  <c r="BL79" i="1"/>
  <c r="BG79" i="1"/>
  <c r="AY79" i="1"/>
  <c r="BD79" i="1"/>
  <c r="BF79" i="1"/>
  <c r="BE79" i="1"/>
  <c r="BK79" i="1"/>
  <c r="BO79" i="1"/>
  <c r="BH79" i="1"/>
  <c r="BI79" i="1"/>
  <c r="BI99" i="1"/>
  <c r="BI100" i="1"/>
  <c r="BI97" i="1"/>
  <c r="BI98" i="1"/>
  <c r="BI101" i="1"/>
  <c r="BI102" i="1"/>
  <c r="AX79" i="1"/>
  <c r="AX100" i="1"/>
  <c r="AX97" i="1"/>
  <c r="AX99" i="1"/>
  <c r="AX98" i="1"/>
  <c r="AX102" i="1"/>
  <c r="AX101" i="1"/>
  <c r="N60" i="44"/>
  <c r="N59" i="44"/>
  <c r="N58" i="44"/>
  <c r="N57" i="44"/>
  <c r="N56" i="44"/>
  <c r="N55" i="44"/>
  <c r="N54" i="44"/>
  <c r="N53" i="44"/>
  <c r="N53" i="1"/>
  <c r="N54" i="1"/>
  <c r="N56" i="1"/>
  <c r="N57" i="1"/>
  <c r="N58" i="1"/>
  <c r="N59" i="1"/>
  <c r="N60" i="1"/>
  <c r="C23" i="45" l="1"/>
  <c r="BJ104" i="1"/>
  <c r="C24" i="45"/>
  <c r="AY104" i="1"/>
  <c r="AZ102" i="1"/>
  <c r="BK101" i="1"/>
  <c r="AZ99" i="1"/>
  <c r="BK97" i="1"/>
  <c r="BK98" i="1"/>
  <c r="BK99" i="1"/>
  <c r="BK100" i="1"/>
  <c r="AZ101" i="1"/>
  <c r="BK102" i="1"/>
  <c r="AZ100" i="1"/>
  <c r="AZ98" i="1"/>
  <c r="AZ97" i="1"/>
  <c r="N51" i="1"/>
  <c r="E51" i="1"/>
  <c r="N52" i="1"/>
  <c r="N61" i="1" l="1"/>
  <c r="BF9" i="46"/>
  <c r="BF8" i="46"/>
  <c r="BF7" i="46"/>
  <c r="BF6" i="46"/>
  <c r="BF5" i="46"/>
  <c r="BF4" i="46"/>
  <c r="BF3" i="46"/>
  <c r="AY3" i="46"/>
  <c r="AY9" i="46"/>
  <c r="AY8" i="46"/>
  <c r="AY7" i="46"/>
  <c r="AY6" i="46"/>
  <c r="AY5" i="46"/>
  <c r="AY4" i="46"/>
  <c r="AR3" i="46"/>
  <c r="AR9" i="46"/>
  <c r="AR8" i="46"/>
  <c r="AR7" i="46"/>
  <c r="AR6" i="46"/>
  <c r="AR5" i="46"/>
  <c r="AR4" i="46"/>
  <c r="AK3" i="46"/>
  <c r="AK8" i="46"/>
  <c r="AK7" i="46"/>
  <c r="AK6" i="46"/>
  <c r="AK5" i="46"/>
  <c r="AK4" i="46"/>
  <c r="I4" i="46"/>
  <c r="BL4" i="46" s="1"/>
  <c r="I5" i="46"/>
  <c r="BL5" i="46" s="1"/>
  <c r="I6" i="46"/>
  <c r="I7" i="46"/>
  <c r="I8" i="46"/>
  <c r="I9" i="46"/>
  <c r="I3" i="46"/>
  <c r="BL8" i="46" l="1"/>
  <c r="BL7" i="46"/>
  <c r="BL6" i="46"/>
  <c r="J51" i="1"/>
  <c r="I53" i="44"/>
  <c r="I55" i="44"/>
  <c r="I56" i="44"/>
  <c r="I57" i="44"/>
  <c r="I58" i="44"/>
  <c r="I59" i="44"/>
  <c r="I60" i="44"/>
  <c r="I51" i="1" l="1"/>
  <c r="I54" i="44"/>
  <c r="I52" i="44"/>
  <c r="I51" i="44" l="1"/>
  <c r="N52" i="44" l="1"/>
  <c r="I55" i="1"/>
  <c r="I56" i="1"/>
  <c r="I57" i="1"/>
  <c r="I58" i="1"/>
  <c r="I59" i="1"/>
  <c r="I60" i="1"/>
  <c r="I54" i="1" l="1"/>
  <c r="I52" i="1"/>
  <c r="G60" i="44"/>
  <c r="C60" i="44"/>
  <c r="G59" i="44"/>
  <c r="C59" i="44"/>
  <c r="G58" i="44"/>
  <c r="C58" i="44"/>
  <c r="G57" i="44"/>
  <c r="G56" i="44"/>
  <c r="G55" i="44"/>
  <c r="D71" i="44" s="1"/>
  <c r="G54" i="44"/>
  <c r="G53" i="44"/>
  <c r="D69" i="44" s="1"/>
  <c r="G52" i="44"/>
  <c r="G51" i="44"/>
  <c r="D67" i="44" s="1"/>
  <c r="C29" i="45"/>
  <c r="C16" i="45"/>
  <c r="BC9" i="46"/>
  <c r="BC8" i="46"/>
  <c r="BC7" i="46"/>
  <c r="BC6" i="46"/>
  <c r="BC5" i="46"/>
  <c r="BC4" i="46"/>
  <c r="BC3" i="46"/>
  <c r="AV9" i="46"/>
  <c r="AV8" i="46"/>
  <c r="AV7" i="46"/>
  <c r="AV6" i="46"/>
  <c r="AV5" i="46"/>
  <c r="AV4" i="46"/>
  <c r="AV3" i="46"/>
  <c r="AO9" i="46"/>
  <c r="AO8" i="46"/>
  <c r="AO7" i="46"/>
  <c r="AO6" i="46"/>
  <c r="AO5" i="46"/>
  <c r="AO4" i="46"/>
  <c r="AO3" i="46"/>
  <c r="AH8" i="46"/>
  <c r="AI8" i="46" s="1"/>
  <c r="BJ8" i="46" s="1"/>
  <c r="AH7" i="46"/>
  <c r="AI7" i="46" s="1"/>
  <c r="BJ7" i="46" s="1"/>
  <c r="AH6" i="46"/>
  <c r="AI6" i="46" s="1"/>
  <c r="BJ6" i="46" s="1"/>
  <c r="AH5" i="46"/>
  <c r="AI5" i="46" s="1"/>
  <c r="BJ5" i="46" s="1"/>
  <c r="AH4" i="46"/>
  <c r="AI4" i="46" s="1"/>
  <c r="BJ4" i="46" s="1"/>
  <c r="AH3" i="46"/>
  <c r="AI3" i="46" s="1"/>
  <c r="BJ3" i="46" s="1"/>
  <c r="E4" i="46"/>
  <c r="E5" i="46"/>
  <c r="E6" i="46"/>
  <c r="E7" i="46"/>
  <c r="E8" i="46"/>
  <c r="E9" i="46"/>
  <c r="E3" i="46"/>
  <c r="AO67" i="44" l="1"/>
  <c r="AD67" i="44"/>
  <c r="AC67" i="44"/>
  <c r="AN67" i="44"/>
  <c r="D37" i="45"/>
  <c r="D36" i="45"/>
  <c r="J57" i="44"/>
  <c r="D73" i="44"/>
  <c r="AM67" i="44"/>
  <c r="AB67" i="44"/>
  <c r="AU71" i="44"/>
  <c r="AT71" i="44"/>
  <c r="AQ71" i="44"/>
  <c r="AH71" i="44"/>
  <c r="AO71" i="44"/>
  <c r="AI71" i="44"/>
  <c r="AG71" i="44"/>
  <c r="AB71" i="44"/>
  <c r="AR71" i="44"/>
  <c r="AP71" i="44"/>
  <c r="AC71" i="44"/>
  <c r="AS71" i="44"/>
  <c r="AJ71" i="44"/>
  <c r="AE71" i="44"/>
  <c r="AN71" i="44"/>
  <c r="AD71" i="44"/>
  <c r="AM71" i="44"/>
  <c r="AF71" i="44"/>
  <c r="J58" i="44"/>
  <c r="D74" i="44"/>
  <c r="AB69" i="44"/>
  <c r="AM69" i="44"/>
  <c r="AC69" i="44"/>
  <c r="AO69" i="44"/>
  <c r="AN69" i="44"/>
  <c r="AD69" i="44"/>
  <c r="J56" i="44"/>
  <c r="D72" i="44"/>
  <c r="E58" i="44"/>
  <c r="C74" i="44"/>
  <c r="B61" i="44"/>
  <c r="J59" i="44"/>
  <c r="D75" i="44"/>
  <c r="J52" i="44"/>
  <c r="D68" i="44"/>
  <c r="J54" i="44"/>
  <c r="D70" i="44"/>
  <c r="E59" i="44"/>
  <c r="C75" i="44"/>
  <c r="E60" i="44"/>
  <c r="C76" i="44"/>
  <c r="J60" i="44"/>
  <c r="D76" i="44"/>
  <c r="D24" i="45"/>
  <c r="D23" i="45"/>
  <c r="J53" i="44"/>
  <c r="F61" i="44"/>
  <c r="BI5" i="46"/>
  <c r="BI3" i="46"/>
  <c r="BI4" i="46"/>
  <c r="BI8" i="46"/>
  <c r="BI6" i="46"/>
  <c r="BI7" i="46"/>
  <c r="AJ7" i="46"/>
  <c r="BK7" i="46" s="1"/>
  <c r="AJ5" i="46"/>
  <c r="BK5" i="46" s="1"/>
  <c r="AJ8" i="46"/>
  <c r="BK8" i="46" s="1"/>
  <c r="AJ4" i="46"/>
  <c r="BK4" i="46" s="1"/>
  <c r="AJ6" i="46"/>
  <c r="BK6" i="46" s="1"/>
  <c r="AJ3" i="46"/>
  <c r="BK3" i="46" s="1"/>
  <c r="C17" i="45"/>
  <c r="N51" i="44"/>
  <c r="N61" i="44" s="1"/>
  <c r="J51" i="44"/>
  <c r="J55" i="44"/>
  <c r="P74" i="44" l="1"/>
  <c r="P77" i="44" s="1"/>
  <c r="Q74" i="44"/>
  <c r="L74" i="44"/>
  <c r="L77" i="44" s="1"/>
  <c r="K74" i="44"/>
  <c r="K77" i="44" s="1"/>
  <c r="S74" i="44"/>
  <c r="S77" i="44" s="1"/>
  <c r="F74" i="44"/>
  <c r="AA74" i="44"/>
  <c r="AA77" i="44" s="1"/>
  <c r="Y74" i="44"/>
  <c r="Y77" i="44" s="1"/>
  <c r="J74" i="44"/>
  <c r="J77" i="44" s="1"/>
  <c r="V74" i="44"/>
  <c r="V77" i="44" s="1"/>
  <c r="H74" i="44"/>
  <c r="H77" i="44" s="1"/>
  <c r="U74" i="44"/>
  <c r="U77" i="44" s="1"/>
  <c r="O74" i="44"/>
  <c r="O77" i="44" s="1"/>
  <c r="T74" i="44"/>
  <c r="T77" i="44" s="1"/>
  <c r="R74" i="44"/>
  <c r="R77" i="44" s="1"/>
  <c r="Z74" i="44"/>
  <c r="Z77" i="44" s="1"/>
  <c r="M74" i="44"/>
  <c r="M77" i="44" s="1"/>
  <c r="I74" i="44"/>
  <c r="I77" i="44" s="1"/>
  <c r="G74" i="44"/>
  <c r="G77" i="44" s="1"/>
  <c r="W74" i="44"/>
  <c r="W77" i="44" s="1"/>
  <c r="X74" i="44"/>
  <c r="X77" i="44" s="1"/>
  <c r="N74" i="44"/>
  <c r="N77" i="44" s="1"/>
  <c r="AS74" i="44"/>
  <c r="AT74" i="44"/>
  <c r="AR74" i="44"/>
  <c r="AQ74" i="44"/>
  <c r="AB74" i="44"/>
  <c r="AO74" i="44"/>
  <c r="AJ74" i="44"/>
  <c r="AF74" i="44"/>
  <c r="AG74" i="44"/>
  <c r="AC74" i="44"/>
  <c r="AN74" i="44"/>
  <c r="AU74" i="44"/>
  <c r="AM74" i="44"/>
  <c r="AV74" i="44"/>
  <c r="AI74" i="44"/>
  <c r="AH74" i="44"/>
  <c r="AL74" i="44"/>
  <c r="AE74" i="44"/>
  <c r="AD74" i="44"/>
  <c r="AP74" i="44"/>
  <c r="AK74" i="44"/>
  <c r="AW74" i="44"/>
  <c r="AB75" i="44"/>
  <c r="AM75" i="44"/>
  <c r="AI73" i="44"/>
  <c r="AO73" i="44"/>
  <c r="AD73" i="44"/>
  <c r="AH73" i="44"/>
  <c r="AC73" i="44"/>
  <c r="AW73" i="44"/>
  <c r="AT73" i="44"/>
  <c r="AR73" i="44"/>
  <c r="AQ73" i="44"/>
  <c r="AG73" i="44"/>
  <c r="AN73" i="44"/>
  <c r="AP73" i="44"/>
  <c r="AS73" i="44"/>
  <c r="AK73" i="44"/>
  <c r="AF73" i="44"/>
  <c r="AE73" i="44"/>
  <c r="AM73" i="44"/>
  <c r="AU73" i="44"/>
  <c r="AJ73" i="44"/>
  <c r="AL73" i="44"/>
  <c r="AB73" i="44"/>
  <c r="AV73" i="44"/>
  <c r="AQ72" i="44"/>
  <c r="AN72" i="44"/>
  <c r="AB72" i="44"/>
  <c r="AS72" i="44"/>
  <c r="AR72" i="44"/>
  <c r="AE72" i="44"/>
  <c r="AO72" i="44"/>
  <c r="AG72" i="44"/>
  <c r="AF72" i="44"/>
  <c r="AP72" i="44"/>
  <c r="AM72" i="44"/>
  <c r="AW72" i="44"/>
  <c r="AJ72" i="44"/>
  <c r="AK72" i="44"/>
  <c r="AD72" i="44"/>
  <c r="AU72" i="44"/>
  <c r="AL72" i="44"/>
  <c r="AH72" i="44"/>
  <c r="AV72" i="44"/>
  <c r="AV77" i="44" s="1"/>
  <c r="AI72" i="44"/>
  <c r="AC72" i="44"/>
  <c r="AT72" i="44"/>
  <c r="AT77" i="44" s="1"/>
  <c r="AB76" i="44"/>
  <c r="AM76" i="44"/>
  <c r="Q76" i="44"/>
  <c r="F76" i="44"/>
  <c r="AG70" i="44"/>
  <c r="AS70" i="44"/>
  <c r="AB70" i="44"/>
  <c r="AN70" i="44"/>
  <c r="AO70" i="44"/>
  <c r="AM70" i="44"/>
  <c r="AE70" i="44"/>
  <c r="AR70" i="44"/>
  <c r="AH70" i="44"/>
  <c r="AH77" i="44" s="1"/>
  <c r="AD70" i="44"/>
  <c r="AP70" i="44"/>
  <c r="AQ70" i="44"/>
  <c r="AF70" i="44"/>
  <c r="AC70" i="44"/>
  <c r="AO68" i="44"/>
  <c r="AE68" i="44"/>
  <c r="AP68" i="44"/>
  <c r="AB68" i="44"/>
  <c r="AR68" i="44"/>
  <c r="AF68" i="44"/>
  <c r="AQ68" i="44"/>
  <c r="AD68" i="44"/>
  <c r="AM68" i="44"/>
  <c r="AG68" i="44"/>
  <c r="AN68" i="44"/>
  <c r="AC68" i="44"/>
  <c r="Q75" i="44"/>
  <c r="F75" i="44"/>
  <c r="I61" i="44"/>
  <c r="E61" i="44"/>
  <c r="D11" i="42"/>
  <c r="D7" i="42"/>
  <c r="J38" i="41"/>
  <c r="I27" i="41"/>
  <c r="J27" i="41"/>
  <c r="B23" i="41"/>
  <c r="B22" i="41"/>
  <c r="B19" i="41"/>
  <c r="C21" i="41"/>
  <c r="C23" i="41"/>
  <c r="D7" i="44"/>
  <c r="D9" i="44" s="1"/>
  <c r="C22" i="41"/>
  <c r="D10" i="42"/>
  <c r="B11" i="41"/>
  <c r="C14" i="41"/>
  <c r="C13" i="41"/>
  <c r="B14" i="41"/>
  <c r="B15" i="41"/>
  <c r="C52" i="1"/>
  <c r="C68" i="1" s="1"/>
  <c r="G52" i="1"/>
  <c r="D68" i="1" s="1"/>
  <c r="C53" i="1"/>
  <c r="C69" i="1" s="1"/>
  <c r="G53" i="1"/>
  <c r="C54" i="1"/>
  <c r="C70" i="1" s="1"/>
  <c r="G54" i="1"/>
  <c r="C55" i="1"/>
  <c r="C71" i="1" s="1"/>
  <c r="G55" i="1"/>
  <c r="C56" i="1"/>
  <c r="C72" i="1" s="1"/>
  <c r="G56" i="1"/>
  <c r="C57" i="1"/>
  <c r="C73" i="1" s="1"/>
  <c r="G57" i="1"/>
  <c r="C58" i="1"/>
  <c r="C74" i="1" s="1"/>
  <c r="G58" i="1"/>
  <c r="C59" i="1"/>
  <c r="C75" i="1" s="1"/>
  <c r="G59" i="1"/>
  <c r="C60" i="1"/>
  <c r="C76" i="1" s="1"/>
  <c r="G60" i="1"/>
  <c r="C15" i="41"/>
  <c r="AB77" i="44" l="1"/>
  <c r="H111" i="44" s="1"/>
  <c r="H112" i="44" s="1"/>
  <c r="AL77" i="44"/>
  <c r="AJ77" i="44"/>
  <c r="AI77" i="44"/>
  <c r="AI91" i="44" s="1"/>
  <c r="AN77" i="44"/>
  <c r="AM77" i="44"/>
  <c r="AM89" i="44" s="1"/>
  <c r="AU77" i="44"/>
  <c r="AU89" i="44" s="1"/>
  <c r="AC77" i="44"/>
  <c r="AC89" i="44" s="1"/>
  <c r="AB91" i="44"/>
  <c r="AB93" i="44"/>
  <c r="AB90" i="44"/>
  <c r="AB79" i="44"/>
  <c r="AB89" i="44"/>
  <c r="AB94" i="44"/>
  <c r="AB92" i="44"/>
  <c r="AT79" i="44"/>
  <c r="AT89" i="44"/>
  <c r="AT94" i="44"/>
  <c r="AT92" i="44"/>
  <c r="AT91" i="44"/>
  <c r="AT90" i="44"/>
  <c r="AT93" i="44"/>
  <c r="AI92" i="44"/>
  <c r="AI90" i="44"/>
  <c r="AI79" i="44"/>
  <c r="AI93" i="44"/>
  <c r="AU90" i="44"/>
  <c r="AU93" i="44"/>
  <c r="AU79" i="44"/>
  <c r="AJ79" i="44"/>
  <c r="AJ93" i="44"/>
  <c r="AJ91" i="44"/>
  <c r="AJ89" i="44"/>
  <c r="AJ94" i="44"/>
  <c r="AJ90" i="44"/>
  <c r="AJ92" i="44"/>
  <c r="O93" i="44"/>
  <c r="O92" i="44"/>
  <c r="O89" i="44"/>
  <c r="O94" i="44"/>
  <c r="O91" i="44"/>
  <c r="O79" i="44"/>
  <c r="O90" i="44"/>
  <c r="U94" i="44"/>
  <c r="U92" i="44"/>
  <c r="U90" i="44"/>
  <c r="U79" i="44"/>
  <c r="U89" i="44"/>
  <c r="U93" i="44"/>
  <c r="U91" i="44"/>
  <c r="H79" i="44"/>
  <c r="H90" i="44"/>
  <c r="H92" i="44"/>
  <c r="H94" i="44"/>
  <c r="H91" i="44"/>
  <c r="H93" i="44"/>
  <c r="H89" i="44"/>
  <c r="AH79" i="44"/>
  <c r="AH91" i="44"/>
  <c r="AH93" i="44"/>
  <c r="AH94" i="44"/>
  <c r="AH89" i="44"/>
  <c r="AH92" i="44"/>
  <c r="AH90" i="44"/>
  <c r="V94" i="44"/>
  <c r="V92" i="44"/>
  <c r="V90" i="44"/>
  <c r="V93" i="44"/>
  <c r="V89" i="44"/>
  <c r="V79" i="44"/>
  <c r="V91" i="44"/>
  <c r="AC92" i="44"/>
  <c r="AC90" i="44"/>
  <c r="AC91" i="44"/>
  <c r="AC93" i="44"/>
  <c r="J89" i="44"/>
  <c r="J79" i="44"/>
  <c r="J93" i="44"/>
  <c r="J90" i="44"/>
  <c r="J92" i="44"/>
  <c r="J91" i="44"/>
  <c r="J94" i="44"/>
  <c r="Y79" i="44"/>
  <c r="Y93" i="44"/>
  <c r="Y92" i="44"/>
  <c r="Y90" i="44"/>
  <c r="Y91" i="44"/>
  <c r="Y94" i="44"/>
  <c r="Y89" i="44"/>
  <c r="AD77" i="44"/>
  <c r="AA90" i="44"/>
  <c r="AA89" i="44"/>
  <c r="AA94" i="44"/>
  <c r="AA93" i="44"/>
  <c r="AA91" i="44"/>
  <c r="AA92" i="44"/>
  <c r="N90" i="44"/>
  <c r="N89" i="44"/>
  <c r="N93" i="44"/>
  <c r="N94" i="44"/>
  <c r="N79" i="44"/>
  <c r="N91" i="44"/>
  <c r="N92" i="44"/>
  <c r="F77" i="44"/>
  <c r="F111" i="44" s="1"/>
  <c r="F112" i="44" s="1"/>
  <c r="X90" i="44"/>
  <c r="X93" i="44"/>
  <c r="X91" i="44"/>
  <c r="X89" i="44"/>
  <c r="X94" i="44"/>
  <c r="X79" i="44"/>
  <c r="X92" i="44"/>
  <c r="S94" i="44"/>
  <c r="S91" i="44"/>
  <c r="S79" i="44"/>
  <c r="S93" i="44"/>
  <c r="S90" i="44"/>
  <c r="S89" i="44"/>
  <c r="S92" i="44"/>
  <c r="T89" i="44"/>
  <c r="T94" i="44"/>
  <c r="T92" i="44"/>
  <c r="T90" i="44"/>
  <c r="T93" i="44"/>
  <c r="T91" i="44"/>
  <c r="T79" i="44"/>
  <c r="W91" i="44"/>
  <c r="W89" i="44"/>
  <c r="W93" i="44"/>
  <c r="W94" i="44"/>
  <c r="W79" i="44"/>
  <c r="W90" i="44"/>
  <c r="W92" i="44"/>
  <c r="K92" i="44"/>
  <c r="K89" i="44"/>
  <c r="K90" i="44"/>
  <c r="K79" i="44"/>
  <c r="K93" i="44"/>
  <c r="K91" i="44"/>
  <c r="K94" i="44"/>
  <c r="AR77" i="44"/>
  <c r="G89" i="44"/>
  <c r="G92" i="44"/>
  <c r="G91" i="44"/>
  <c r="G90" i="44"/>
  <c r="G79" i="44"/>
  <c r="G94" i="44"/>
  <c r="G93" i="44"/>
  <c r="L92" i="44"/>
  <c r="L94" i="44"/>
  <c r="L91" i="44"/>
  <c r="L90" i="44"/>
  <c r="L89" i="44"/>
  <c r="L79" i="44"/>
  <c r="L93" i="44"/>
  <c r="AN79" i="44"/>
  <c r="AN90" i="44"/>
  <c r="AN93" i="44"/>
  <c r="AN91" i="44"/>
  <c r="AN92" i="44"/>
  <c r="AN89" i="44"/>
  <c r="AN94" i="44"/>
  <c r="AG77" i="44"/>
  <c r="AQ77" i="44"/>
  <c r="AF77" i="44"/>
  <c r="AK77" i="44"/>
  <c r="AS77" i="44"/>
  <c r="AW77" i="44"/>
  <c r="I93" i="44"/>
  <c r="I90" i="44"/>
  <c r="I79" i="44"/>
  <c r="I92" i="44"/>
  <c r="I94" i="44"/>
  <c r="I89" i="44"/>
  <c r="I91" i="44"/>
  <c r="Q77" i="44"/>
  <c r="G111" i="44" s="1"/>
  <c r="G112" i="44" s="1"/>
  <c r="AP77" i="44"/>
  <c r="AE77" i="44"/>
  <c r="M90" i="44"/>
  <c r="M89" i="44"/>
  <c r="M93" i="44"/>
  <c r="M94" i="44"/>
  <c r="M91" i="44"/>
  <c r="M92" i="44"/>
  <c r="M79" i="44"/>
  <c r="P89" i="44"/>
  <c r="P91" i="44"/>
  <c r="P79" i="44"/>
  <c r="P94" i="44"/>
  <c r="P90" i="44"/>
  <c r="P93" i="44"/>
  <c r="P92" i="44"/>
  <c r="AV92" i="44"/>
  <c r="AV90" i="44"/>
  <c r="AV93" i="44"/>
  <c r="AV89" i="44"/>
  <c r="AV79" i="44"/>
  <c r="AV94" i="44"/>
  <c r="AV91" i="44"/>
  <c r="AL79" i="44"/>
  <c r="AL90" i="44"/>
  <c r="AL93" i="44"/>
  <c r="AL91" i="44"/>
  <c r="AL89" i="44"/>
  <c r="AL94" i="44"/>
  <c r="AL92" i="44"/>
  <c r="AO77" i="44"/>
  <c r="Z90" i="44"/>
  <c r="Z79" i="44"/>
  <c r="Z93" i="44"/>
  <c r="Z92" i="44"/>
  <c r="Z91" i="44"/>
  <c r="Z89" i="44"/>
  <c r="Z94" i="44"/>
  <c r="R79" i="44"/>
  <c r="R91" i="44"/>
  <c r="R94" i="44"/>
  <c r="R89" i="44"/>
  <c r="R92" i="44"/>
  <c r="R90" i="44"/>
  <c r="R93" i="44"/>
  <c r="AS68" i="1"/>
  <c r="AR68" i="1"/>
  <c r="AO68" i="1"/>
  <c r="AC68" i="1"/>
  <c r="AD68" i="1"/>
  <c r="AB68" i="1"/>
  <c r="AP68" i="1"/>
  <c r="AN68" i="1"/>
  <c r="AG68" i="1"/>
  <c r="AF68" i="1"/>
  <c r="AE68" i="1"/>
  <c r="AH68" i="1"/>
  <c r="AQ68" i="1"/>
  <c r="AM68" i="1"/>
  <c r="Q68" i="1"/>
  <c r="K68" i="1"/>
  <c r="V68" i="1"/>
  <c r="T68" i="1"/>
  <c r="S68" i="1"/>
  <c r="W68" i="1"/>
  <c r="L68" i="1"/>
  <c r="R68" i="1"/>
  <c r="U68" i="1"/>
  <c r="J68" i="1"/>
  <c r="I68" i="1"/>
  <c r="G68" i="1"/>
  <c r="F68" i="1"/>
  <c r="H68" i="1"/>
  <c r="E53" i="1"/>
  <c r="J53" i="1"/>
  <c r="D69" i="1"/>
  <c r="J60" i="1"/>
  <c r="D76" i="1"/>
  <c r="J58" i="1"/>
  <c r="D74" i="1"/>
  <c r="E58" i="1"/>
  <c r="J57" i="1"/>
  <c r="D73" i="1"/>
  <c r="E59" i="1"/>
  <c r="E57" i="1"/>
  <c r="E60" i="1"/>
  <c r="J56" i="1"/>
  <c r="D72" i="1"/>
  <c r="E56" i="1"/>
  <c r="J55" i="1"/>
  <c r="D71" i="1"/>
  <c r="J59" i="1"/>
  <c r="D75" i="1"/>
  <c r="E55" i="1"/>
  <c r="E54" i="1"/>
  <c r="B61" i="1"/>
  <c r="J54" i="1"/>
  <c r="D70" i="1"/>
  <c r="F61" i="1"/>
  <c r="D12" i="42"/>
  <c r="D13" i="42" s="1"/>
  <c r="F62" i="42" s="1"/>
  <c r="C41" i="45"/>
  <c r="E52" i="1"/>
  <c r="C28" i="45"/>
  <c r="D10" i="44"/>
  <c r="C30" i="45" s="1"/>
  <c r="J52" i="1"/>
  <c r="I38" i="41"/>
  <c r="K27" i="41"/>
  <c r="H38" i="41"/>
  <c r="K38" i="41"/>
  <c r="AM94" i="44" l="1"/>
  <c r="AI94" i="44"/>
  <c r="AI89" i="44"/>
  <c r="AM91" i="44"/>
  <c r="I111" i="44"/>
  <c r="I112" i="44" s="1"/>
  <c r="L112" i="44" s="1"/>
  <c r="AC79" i="44"/>
  <c r="AU91" i="44"/>
  <c r="AC94" i="44"/>
  <c r="AU92" i="44"/>
  <c r="AM90" i="44"/>
  <c r="AU94" i="44"/>
  <c r="AM92" i="44"/>
  <c r="AM93" i="44"/>
  <c r="AM97" i="44"/>
  <c r="Q100" i="44"/>
  <c r="Q101" i="44"/>
  <c r="Q102" i="44"/>
  <c r="Q97" i="44"/>
  <c r="Q98" i="44"/>
  <c r="Q99" i="44"/>
  <c r="AM79" i="44"/>
  <c r="AD79" i="44"/>
  <c r="AD89" i="44"/>
  <c r="AD94" i="44"/>
  <c r="AD91" i="44"/>
  <c r="AD92" i="44"/>
  <c r="AD90" i="44"/>
  <c r="AD93" i="44"/>
  <c r="F94" i="44"/>
  <c r="H102" i="44" s="1"/>
  <c r="F98" i="44"/>
  <c r="F90" i="44"/>
  <c r="H98" i="44" s="1"/>
  <c r="F93" i="44"/>
  <c r="H101" i="44" s="1"/>
  <c r="F79" i="44"/>
  <c r="C32" i="45" s="1"/>
  <c r="D32" i="45" s="1"/>
  <c r="F102" i="44"/>
  <c r="F92" i="44"/>
  <c r="H100" i="44" s="1"/>
  <c r="F101" i="44"/>
  <c r="F99" i="44"/>
  <c r="F100" i="44"/>
  <c r="F89" i="44"/>
  <c r="H97" i="44" s="1"/>
  <c r="F97" i="44"/>
  <c r="F91" i="44"/>
  <c r="H99" i="44" s="1"/>
  <c r="AS91" i="44"/>
  <c r="AS90" i="44"/>
  <c r="AS93" i="44"/>
  <c r="AS79" i="44"/>
  <c r="AS92" i="44"/>
  <c r="AS89" i="44"/>
  <c r="AS94" i="44"/>
  <c r="AF79" i="44"/>
  <c r="AF91" i="44"/>
  <c r="AF92" i="44"/>
  <c r="AF89" i="44"/>
  <c r="AF94" i="44"/>
  <c r="AF90" i="44"/>
  <c r="AF93" i="44"/>
  <c r="AQ92" i="44"/>
  <c r="AQ89" i="44"/>
  <c r="AQ90" i="44"/>
  <c r="AQ93" i="44"/>
  <c r="AQ91" i="44"/>
  <c r="AQ79" i="44"/>
  <c r="AQ94" i="44"/>
  <c r="AB100" i="44"/>
  <c r="AG79" i="44"/>
  <c r="AG91" i="44"/>
  <c r="AG89" i="44"/>
  <c r="AG94" i="44"/>
  <c r="AG92" i="44"/>
  <c r="AG90" i="44"/>
  <c r="AG93" i="44"/>
  <c r="AM98" i="44"/>
  <c r="AB98" i="44"/>
  <c r="AM102" i="44"/>
  <c r="AB99" i="44"/>
  <c r="AP89" i="44"/>
  <c r="AP79" i="44"/>
  <c r="AP92" i="44"/>
  <c r="AP90" i="44"/>
  <c r="AP93" i="44"/>
  <c r="AP94" i="44"/>
  <c r="AP91" i="44"/>
  <c r="AM100" i="44"/>
  <c r="Q91" i="44"/>
  <c r="S99" i="44" s="1"/>
  <c r="Q94" i="44"/>
  <c r="S102" i="44" s="1"/>
  <c r="Q89" i="44"/>
  <c r="S97" i="44" s="1"/>
  <c r="Q79" i="44"/>
  <c r="C33" i="45" s="1"/>
  <c r="D33" i="45" s="1"/>
  <c r="Q92" i="44"/>
  <c r="S100" i="44" s="1"/>
  <c r="Q93" i="44"/>
  <c r="S101" i="44" s="1"/>
  <c r="Q90" i="44"/>
  <c r="S98" i="44" s="1"/>
  <c r="AB102" i="44"/>
  <c r="AK92" i="44"/>
  <c r="AK79" i="44"/>
  <c r="AK93" i="44"/>
  <c r="AK90" i="44"/>
  <c r="AK91" i="44"/>
  <c r="AK94" i="44"/>
  <c r="AK89" i="44"/>
  <c r="AO79" i="44"/>
  <c r="AO90" i="44"/>
  <c r="AO93" i="44"/>
  <c r="AO91" i="44"/>
  <c r="AO92" i="44"/>
  <c r="AO89" i="44"/>
  <c r="AO94" i="44"/>
  <c r="AM99" i="44"/>
  <c r="AB101" i="44"/>
  <c r="AM101" i="44"/>
  <c r="AB97" i="44"/>
  <c r="AW91" i="44"/>
  <c r="AW93" i="44"/>
  <c r="AW89" i="44"/>
  <c r="AW94" i="44"/>
  <c r="AW92" i="44"/>
  <c r="AW90" i="44"/>
  <c r="AE91" i="44"/>
  <c r="AE90" i="44"/>
  <c r="AE93" i="44"/>
  <c r="AE94" i="44"/>
  <c r="AE92" i="44"/>
  <c r="AE79" i="44"/>
  <c r="AE89" i="44"/>
  <c r="AR79" i="44"/>
  <c r="AR89" i="44"/>
  <c r="AR94" i="44"/>
  <c r="AR92" i="44"/>
  <c r="AR90" i="44"/>
  <c r="AR93" i="44"/>
  <c r="AR91" i="44"/>
  <c r="C49" i="42"/>
  <c r="G31" i="42"/>
  <c r="J31" i="42" s="1"/>
  <c r="D50" i="42"/>
  <c r="L31" i="42"/>
  <c r="N31" i="42" s="1"/>
  <c r="G32" i="42"/>
  <c r="J32" i="42" s="1"/>
  <c r="E49" i="42"/>
  <c r="B50" i="42"/>
  <c r="C50" i="42"/>
  <c r="D49" i="42"/>
  <c r="E50" i="42"/>
  <c r="B49" i="42"/>
  <c r="D31" i="42"/>
  <c r="D32" i="42"/>
  <c r="L32" i="42"/>
  <c r="N32" i="42" s="1"/>
  <c r="AT70" i="1"/>
  <c r="AI70" i="1"/>
  <c r="M70" i="1"/>
  <c r="X70" i="1"/>
  <c r="L69" i="1"/>
  <c r="W69" i="1"/>
  <c r="AH69" i="1"/>
  <c r="AS69" i="1"/>
  <c r="L74" i="1"/>
  <c r="M74" i="1"/>
  <c r="V74" i="1"/>
  <c r="O74" i="1"/>
  <c r="Z74" i="1"/>
  <c r="G74" i="1"/>
  <c r="K74" i="1"/>
  <c r="J74" i="1"/>
  <c r="W74" i="1"/>
  <c r="P74" i="1"/>
  <c r="X74" i="1"/>
  <c r="I74" i="1"/>
  <c r="R74" i="1"/>
  <c r="AA74" i="1"/>
  <c r="U74" i="1"/>
  <c r="T74" i="1"/>
  <c r="Y74" i="1"/>
  <c r="N74" i="1"/>
  <c r="S74" i="1"/>
  <c r="H74" i="1"/>
  <c r="AR74" i="1"/>
  <c r="AF74" i="1"/>
  <c r="AL74" i="1"/>
  <c r="AP74" i="1"/>
  <c r="AE74" i="1"/>
  <c r="AO74" i="1"/>
  <c r="AT74" i="1"/>
  <c r="AV74" i="1"/>
  <c r="AI74" i="1"/>
  <c r="AG74" i="1"/>
  <c r="AW74" i="1"/>
  <c r="AS74" i="1"/>
  <c r="AQ74" i="1"/>
  <c r="AJ74" i="1"/>
  <c r="AN74" i="1"/>
  <c r="AC74" i="1"/>
  <c r="AK74" i="1"/>
  <c r="AD74" i="1"/>
  <c r="AU74" i="1"/>
  <c r="AH74" i="1"/>
  <c r="AA73" i="1"/>
  <c r="G73" i="1"/>
  <c r="S73" i="1"/>
  <c r="V73" i="1"/>
  <c r="K73" i="1"/>
  <c r="U73" i="1"/>
  <c r="W73" i="1"/>
  <c r="R73" i="1"/>
  <c r="T73" i="1"/>
  <c r="H73" i="1"/>
  <c r="O73" i="1"/>
  <c r="J73" i="1"/>
  <c r="Z73" i="1"/>
  <c r="L73" i="1"/>
  <c r="Y73" i="1"/>
  <c r="M73" i="1"/>
  <c r="N73" i="1"/>
  <c r="X73" i="1"/>
  <c r="I73" i="1"/>
  <c r="P73" i="1"/>
  <c r="AD73" i="1"/>
  <c r="AW73" i="1"/>
  <c r="AU73" i="1"/>
  <c r="AN73" i="1"/>
  <c r="AV73" i="1"/>
  <c r="AK73" i="1"/>
  <c r="AC73" i="1"/>
  <c r="AJ73" i="1"/>
  <c r="AF73" i="1"/>
  <c r="AT73" i="1"/>
  <c r="AI73" i="1"/>
  <c r="AO73" i="1"/>
  <c r="AE73" i="1"/>
  <c r="AR73" i="1"/>
  <c r="AQ73" i="1"/>
  <c r="AP73" i="1"/>
  <c r="AS73" i="1"/>
  <c r="AH73" i="1"/>
  <c r="AG73" i="1"/>
  <c r="AL73" i="1"/>
  <c r="AU72" i="1"/>
  <c r="AT72" i="1"/>
  <c r="AK72" i="1"/>
  <c r="AL72" i="1"/>
  <c r="AW72" i="1"/>
  <c r="AV72" i="1"/>
  <c r="AI72" i="1"/>
  <c r="AJ72" i="1"/>
  <c r="P72" i="1"/>
  <c r="Y72" i="1"/>
  <c r="AA72" i="1"/>
  <c r="M72" i="1"/>
  <c r="Z72" i="1"/>
  <c r="X72" i="1"/>
  <c r="N72" i="1"/>
  <c r="O72" i="1"/>
  <c r="AI71" i="1"/>
  <c r="AJ71" i="1"/>
  <c r="AU71" i="1"/>
  <c r="AT71" i="1"/>
  <c r="M71" i="1"/>
  <c r="X71" i="1"/>
  <c r="N71" i="1"/>
  <c r="Y71" i="1"/>
  <c r="AH70" i="1"/>
  <c r="AS70" i="1"/>
  <c r="AQ70" i="1"/>
  <c r="AF70" i="1"/>
  <c r="AR70" i="1"/>
  <c r="AG70" i="1"/>
  <c r="U70" i="1"/>
  <c r="V70" i="1"/>
  <c r="L70" i="1"/>
  <c r="W70" i="1"/>
  <c r="Q69" i="1"/>
  <c r="J69" i="1"/>
  <c r="S69" i="1"/>
  <c r="U69" i="1"/>
  <c r="R69" i="1"/>
  <c r="T69" i="1"/>
  <c r="K69" i="1"/>
  <c r="V69" i="1"/>
  <c r="AG69" i="1"/>
  <c r="AQ69" i="1"/>
  <c r="AD69" i="1"/>
  <c r="AO69" i="1"/>
  <c r="AF69" i="1"/>
  <c r="AC69" i="1"/>
  <c r="AN69" i="1"/>
  <c r="AE69" i="1"/>
  <c r="AR69" i="1"/>
  <c r="AP69" i="1"/>
  <c r="F76" i="1"/>
  <c r="Q76" i="1"/>
  <c r="F73" i="1"/>
  <c r="Q73" i="1"/>
  <c r="AM75" i="1"/>
  <c r="AB75" i="1"/>
  <c r="AM73" i="1"/>
  <c r="AB73" i="1"/>
  <c r="F74" i="1"/>
  <c r="Q74" i="1"/>
  <c r="AM76" i="1"/>
  <c r="AB76" i="1"/>
  <c r="F75" i="1"/>
  <c r="Q75" i="1"/>
  <c r="AM74" i="1"/>
  <c r="AB74" i="1"/>
  <c r="AC72" i="1"/>
  <c r="AE72" i="1"/>
  <c r="AB72" i="1"/>
  <c r="AF72" i="1"/>
  <c r="AN72" i="1"/>
  <c r="AH72" i="1"/>
  <c r="AO72" i="1"/>
  <c r="AM72" i="1"/>
  <c r="AP72" i="1"/>
  <c r="AR72" i="1"/>
  <c r="AS72" i="1"/>
  <c r="AG72" i="1"/>
  <c r="AQ72" i="1"/>
  <c r="AD72" i="1"/>
  <c r="F72" i="1"/>
  <c r="V72" i="1"/>
  <c r="W72" i="1"/>
  <c r="R72" i="1"/>
  <c r="T72" i="1"/>
  <c r="U72" i="1"/>
  <c r="Q72" i="1"/>
  <c r="G72" i="1"/>
  <c r="L72" i="1"/>
  <c r="I72" i="1"/>
  <c r="H72" i="1"/>
  <c r="S72" i="1"/>
  <c r="K72" i="1"/>
  <c r="J72" i="1"/>
  <c r="AS71" i="1"/>
  <c r="AG71" i="1"/>
  <c r="AB71" i="1"/>
  <c r="AF71" i="1"/>
  <c r="AQ71" i="1"/>
  <c r="AE71" i="1"/>
  <c r="AN71" i="1"/>
  <c r="AO71" i="1"/>
  <c r="AR71" i="1"/>
  <c r="AD71" i="1"/>
  <c r="AP71" i="1"/>
  <c r="AH71" i="1"/>
  <c r="AC71" i="1"/>
  <c r="AM71" i="1"/>
  <c r="F71" i="1"/>
  <c r="W71" i="1"/>
  <c r="H71" i="1"/>
  <c r="K71" i="1"/>
  <c r="V71" i="1"/>
  <c r="U71" i="1"/>
  <c r="J71" i="1"/>
  <c r="G71" i="1"/>
  <c r="T71" i="1"/>
  <c r="Q71" i="1"/>
  <c r="S71" i="1"/>
  <c r="I71" i="1"/>
  <c r="R71" i="1"/>
  <c r="L71" i="1"/>
  <c r="AN70" i="1"/>
  <c r="AE70" i="1"/>
  <c r="AO70" i="1"/>
  <c r="AC70" i="1"/>
  <c r="AD70" i="1"/>
  <c r="AP70" i="1"/>
  <c r="Q70" i="1"/>
  <c r="R70" i="1"/>
  <c r="T70" i="1"/>
  <c r="S70" i="1"/>
  <c r="AM69" i="1"/>
  <c r="AB69" i="1"/>
  <c r="AB70" i="1"/>
  <c r="AM70" i="1"/>
  <c r="F69" i="1"/>
  <c r="I69" i="1"/>
  <c r="H69" i="1"/>
  <c r="G69" i="1"/>
  <c r="I70" i="1"/>
  <c r="G70" i="1"/>
  <c r="J70" i="1"/>
  <c r="F70" i="1"/>
  <c r="K70" i="1"/>
  <c r="H70" i="1"/>
  <c r="C43" i="45"/>
  <c r="E61" i="1"/>
  <c r="I53" i="1"/>
  <c r="I61" i="1" s="1"/>
  <c r="BB63" i="42" l="1"/>
  <c r="J63" i="42"/>
  <c r="AQ63" i="42"/>
  <c r="U63" i="42"/>
  <c r="BM63" i="42"/>
  <c r="AF63" i="42"/>
  <c r="AD101" i="44"/>
  <c r="AO101" i="44"/>
  <c r="C34" i="45"/>
  <c r="D34" i="45" s="1"/>
  <c r="G104" i="44"/>
  <c r="AD100" i="44"/>
  <c r="AD102" i="44"/>
  <c r="AC104" i="44"/>
  <c r="C35" i="45"/>
  <c r="D35" i="45" s="1"/>
  <c r="AO97" i="44"/>
  <c r="AD97" i="44"/>
  <c r="AO99" i="44"/>
  <c r="AD98" i="44"/>
  <c r="AO98" i="44"/>
  <c r="R104" i="44"/>
  <c r="AO100" i="44"/>
  <c r="AD99" i="44"/>
  <c r="AO102" i="44"/>
  <c r="AN104" i="44"/>
  <c r="F77" i="1"/>
  <c r="M43" i="42"/>
  <c r="H43" i="42"/>
  <c r="G62" i="42"/>
  <c r="W62" i="42"/>
  <c r="W64" i="42" s="1"/>
  <c r="AM62" i="42"/>
  <c r="BC62" i="42"/>
  <c r="BC64" i="42" s="1"/>
  <c r="BS62" i="42"/>
  <c r="BS64" i="42" s="1"/>
  <c r="BS65" i="42" s="1"/>
  <c r="L62" i="42"/>
  <c r="L64" i="42" s="1"/>
  <c r="H62" i="42"/>
  <c r="X62" i="42"/>
  <c r="X64" i="42" s="1"/>
  <c r="AN62" i="42"/>
  <c r="BD62" i="42"/>
  <c r="BD64" i="42" s="1"/>
  <c r="BH62" i="42"/>
  <c r="BH64" i="42" s="1"/>
  <c r="BH65" i="42" s="1"/>
  <c r="I62" i="42"/>
  <c r="Y62" i="42"/>
  <c r="Y64" i="42" s="1"/>
  <c r="AO62" i="42"/>
  <c r="BE62" i="42"/>
  <c r="BE64" i="42" s="1"/>
  <c r="BI62" i="42"/>
  <c r="J62" i="42"/>
  <c r="J64" i="42" s="1"/>
  <c r="Z62" i="42"/>
  <c r="Z64" i="42" s="1"/>
  <c r="Z65" i="42" s="1"/>
  <c r="AP62" i="42"/>
  <c r="BF62" i="42"/>
  <c r="BF64" i="42" s="1"/>
  <c r="AS62" i="42"/>
  <c r="AS64" i="42" s="1"/>
  <c r="K62" i="42"/>
  <c r="K64" i="42" s="1"/>
  <c r="AA62" i="42"/>
  <c r="AA64" i="42" s="1"/>
  <c r="AA65" i="42" s="1"/>
  <c r="AQ62" i="42"/>
  <c r="AQ64" i="42" s="1"/>
  <c r="BG62" i="42"/>
  <c r="BG64" i="42" s="1"/>
  <c r="BG65" i="42" s="1"/>
  <c r="N62" i="42"/>
  <c r="N64" i="42" s="1"/>
  <c r="AD62" i="42"/>
  <c r="AT62" i="42"/>
  <c r="AT64" i="42" s="1"/>
  <c r="BJ62" i="42"/>
  <c r="BM62" i="42"/>
  <c r="BM64" i="42" s="1"/>
  <c r="BN62" i="42"/>
  <c r="BN64" i="42" s="1"/>
  <c r="O62" i="42"/>
  <c r="O64" i="42" s="1"/>
  <c r="O65" i="42" s="1"/>
  <c r="AE62" i="42"/>
  <c r="AU62" i="42"/>
  <c r="AU64" i="42" s="1"/>
  <c r="BK62" i="42"/>
  <c r="AW62" i="42"/>
  <c r="AW64" i="42" s="1"/>
  <c r="AW65" i="42" s="1"/>
  <c r="P62" i="42"/>
  <c r="P64" i="42" s="1"/>
  <c r="P65" i="42" s="1"/>
  <c r="AF62" i="42"/>
  <c r="AF64" i="42" s="1"/>
  <c r="AV62" i="42"/>
  <c r="AV64" i="42" s="1"/>
  <c r="AV65" i="42" s="1"/>
  <c r="BL62" i="42"/>
  <c r="AG62" i="42"/>
  <c r="AG64" i="42" s="1"/>
  <c r="Q62" i="42"/>
  <c r="R62" i="42"/>
  <c r="AH62" i="42"/>
  <c r="AH64" i="42" s="1"/>
  <c r="AX62" i="42"/>
  <c r="M62" i="42"/>
  <c r="M64" i="42" s="1"/>
  <c r="S62" i="42"/>
  <c r="AI62" i="42"/>
  <c r="AI64" i="42" s="1"/>
  <c r="AY62" i="42"/>
  <c r="BO62" i="42"/>
  <c r="BO64" i="42" s="1"/>
  <c r="T62" i="42"/>
  <c r="AJ62" i="42"/>
  <c r="AJ64" i="42" s="1"/>
  <c r="AZ62" i="42"/>
  <c r="BP62" i="42"/>
  <c r="BP64" i="42" s="1"/>
  <c r="BB62" i="42"/>
  <c r="BB64" i="42" s="1"/>
  <c r="AB62" i="42"/>
  <c r="U62" i="42"/>
  <c r="U64" i="42" s="1"/>
  <c r="AK62" i="42"/>
  <c r="AK64" i="42" s="1"/>
  <c r="AK65" i="42" s="1"/>
  <c r="BA62" i="42"/>
  <c r="BQ62" i="42"/>
  <c r="BQ64" i="42" s="1"/>
  <c r="V62" i="42"/>
  <c r="V64" i="42" s="1"/>
  <c r="AL62" i="42"/>
  <c r="AL64" i="42" s="1"/>
  <c r="AL65" i="42" s="1"/>
  <c r="BR62" i="42"/>
  <c r="BR64" i="42" s="1"/>
  <c r="BR65" i="42" s="1"/>
  <c r="AR62" i="42"/>
  <c r="AR64" i="42" s="1"/>
  <c r="AC62" i="42"/>
  <c r="AL77" i="1"/>
  <c r="AB77" i="1"/>
  <c r="H111" i="1" s="1"/>
  <c r="H112" i="1" s="1"/>
  <c r="AA77" i="1"/>
  <c r="AV77" i="1"/>
  <c r="AW77" i="1"/>
  <c r="AU77" i="1"/>
  <c r="AK77" i="1"/>
  <c r="O77" i="1"/>
  <c r="AT77" i="1"/>
  <c r="Z77" i="1"/>
  <c r="AH77" i="1"/>
  <c r="P77" i="1"/>
  <c r="Y77" i="1"/>
  <c r="N77" i="1"/>
  <c r="X77" i="1"/>
  <c r="M77" i="1"/>
  <c r="AJ77" i="1"/>
  <c r="AI77" i="1"/>
  <c r="AS77" i="1"/>
  <c r="AG77" i="1"/>
  <c r="W77" i="1"/>
  <c r="L77" i="1"/>
  <c r="AO77" i="1"/>
  <c r="AE77" i="1"/>
  <c r="AC77" i="1"/>
  <c r="AN77" i="1"/>
  <c r="K77" i="1"/>
  <c r="U77" i="1"/>
  <c r="AF77" i="1"/>
  <c r="V77" i="1"/>
  <c r="AR77" i="1"/>
  <c r="AQ77" i="1"/>
  <c r="S77" i="1"/>
  <c r="T77" i="1"/>
  <c r="Q77" i="1"/>
  <c r="G111" i="1" s="1"/>
  <c r="G112" i="1" s="1"/>
  <c r="AP77" i="1"/>
  <c r="R77" i="1"/>
  <c r="J77" i="1"/>
  <c r="AD77" i="1"/>
  <c r="H77" i="1"/>
  <c r="G77" i="1"/>
  <c r="I77" i="1"/>
  <c r="AM77" i="1"/>
  <c r="I111" i="1" s="1"/>
  <c r="I112" i="1" s="1"/>
  <c r="C42" i="45"/>
  <c r="G106" i="44" l="1"/>
  <c r="J29" i="45"/>
  <c r="F79" i="1"/>
  <c r="F111" i="1"/>
  <c r="J30" i="45"/>
  <c r="D38" i="45"/>
  <c r="AK89" i="1"/>
  <c r="AK91" i="1"/>
  <c r="AK90" i="1"/>
  <c r="AK92" i="1"/>
  <c r="AK93" i="1"/>
  <c r="AK94" i="1"/>
  <c r="H89" i="1"/>
  <c r="H90" i="1"/>
  <c r="H91" i="1"/>
  <c r="H94" i="1"/>
  <c r="H92" i="1"/>
  <c r="H93" i="1"/>
  <c r="AC89" i="1"/>
  <c r="AC90" i="1"/>
  <c r="AC91" i="1"/>
  <c r="AC92" i="1"/>
  <c r="AC93" i="1"/>
  <c r="AC94" i="1"/>
  <c r="AW93" i="1"/>
  <c r="AW94" i="1"/>
  <c r="AW89" i="1"/>
  <c r="AW90" i="1"/>
  <c r="AW92" i="1"/>
  <c r="AW91" i="1"/>
  <c r="AS89" i="1"/>
  <c r="AS90" i="1"/>
  <c r="AS91" i="1"/>
  <c r="AS92" i="1"/>
  <c r="AS93" i="1"/>
  <c r="AS94" i="1"/>
  <c r="AL89" i="1"/>
  <c r="AL90" i="1"/>
  <c r="AL91" i="1"/>
  <c r="AL92" i="1"/>
  <c r="AL93" i="1"/>
  <c r="AL94" i="1"/>
  <c r="Z89" i="1"/>
  <c r="Z90" i="1"/>
  <c r="Z92" i="1"/>
  <c r="Z91" i="1"/>
  <c r="Z93" i="1"/>
  <c r="Z94" i="1"/>
  <c r="O89" i="1"/>
  <c r="O90" i="1"/>
  <c r="O91" i="1"/>
  <c r="O92" i="1"/>
  <c r="O94" i="1"/>
  <c r="O93" i="1"/>
  <c r="AU89" i="1"/>
  <c r="AU90" i="1"/>
  <c r="AU91" i="1"/>
  <c r="AU92" i="1"/>
  <c r="AU94" i="1"/>
  <c r="AU93" i="1"/>
  <c r="AV94" i="1"/>
  <c r="AV89" i="1"/>
  <c r="AV90" i="1"/>
  <c r="AV91" i="1"/>
  <c r="AV93" i="1"/>
  <c r="AV92" i="1"/>
  <c r="M89" i="1"/>
  <c r="M90" i="1"/>
  <c r="M91" i="1"/>
  <c r="M92" i="1"/>
  <c r="M93" i="1"/>
  <c r="M94" i="1"/>
  <c r="AT89" i="1"/>
  <c r="AT90" i="1"/>
  <c r="AT91" i="1"/>
  <c r="AT92" i="1"/>
  <c r="AT93" i="1"/>
  <c r="AT94" i="1"/>
  <c r="AE89" i="1"/>
  <c r="AE90" i="1"/>
  <c r="AE91" i="1"/>
  <c r="AE92" i="1"/>
  <c r="AE93" i="1"/>
  <c r="AE94" i="1"/>
  <c r="AO89" i="1"/>
  <c r="AO90" i="1"/>
  <c r="AO93" i="1"/>
  <c r="AO91" i="1"/>
  <c r="AO92" i="1"/>
  <c r="AO94" i="1"/>
  <c r="R92" i="1"/>
  <c r="R93" i="1"/>
  <c r="R94" i="1"/>
  <c r="R89" i="1"/>
  <c r="R91" i="1"/>
  <c r="R90" i="1"/>
  <c r="Q93" i="1"/>
  <c r="Q94" i="1"/>
  <c r="Q89" i="1"/>
  <c r="Q90" i="1"/>
  <c r="Q92" i="1"/>
  <c r="Q91" i="1"/>
  <c r="T90" i="1"/>
  <c r="T92" i="1"/>
  <c r="T91" i="1"/>
  <c r="T93" i="1"/>
  <c r="T94" i="1"/>
  <c r="T89" i="1"/>
  <c r="X89" i="1"/>
  <c r="X90" i="1"/>
  <c r="X91" i="1"/>
  <c r="X92" i="1"/>
  <c r="X93" i="1"/>
  <c r="X94" i="1"/>
  <c r="I89" i="1"/>
  <c r="I90" i="1"/>
  <c r="I91" i="1"/>
  <c r="I92" i="1"/>
  <c r="I93" i="1"/>
  <c r="I94" i="1"/>
  <c r="AD89" i="1"/>
  <c r="AD90" i="1"/>
  <c r="AD91" i="1"/>
  <c r="AD92" i="1"/>
  <c r="AD93" i="1"/>
  <c r="AD94" i="1"/>
  <c r="AP89" i="1"/>
  <c r="AP90" i="1"/>
  <c r="AP92" i="1"/>
  <c r="AP91" i="1"/>
  <c r="AP93" i="1"/>
  <c r="AP94" i="1"/>
  <c r="AB93" i="1"/>
  <c r="AB90" i="1"/>
  <c r="AB89" i="1"/>
  <c r="AB91" i="1"/>
  <c r="AB92" i="1"/>
  <c r="AB94" i="1"/>
  <c r="AR90" i="1"/>
  <c r="AR89" i="1"/>
  <c r="AR91" i="1"/>
  <c r="AR92" i="1"/>
  <c r="AR93" i="1"/>
  <c r="AR94" i="1"/>
  <c r="V89" i="1"/>
  <c r="V90" i="1"/>
  <c r="V91" i="1"/>
  <c r="V92" i="1"/>
  <c r="V93" i="1"/>
  <c r="V94" i="1"/>
  <c r="N89" i="1"/>
  <c r="N90" i="1"/>
  <c r="N91" i="1"/>
  <c r="N92" i="1"/>
  <c r="N93" i="1"/>
  <c r="N94" i="1"/>
  <c r="G89" i="1"/>
  <c r="G90" i="1"/>
  <c r="G91" i="1"/>
  <c r="G92" i="1"/>
  <c r="G93" i="1"/>
  <c r="G94" i="1"/>
  <c r="W89" i="1"/>
  <c r="W90" i="1"/>
  <c r="W91" i="1"/>
  <c r="W92" i="1"/>
  <c r="W93" i="1"/>
  <c r="W94" i="1"/>
  <c r="AA91" i="1"/>
  <c r="AA89" i="1"/>
  <c r="AA94" i="1"/>
  <c r="AA90" i="1"/>
  <c r="AA92" i="1"/>
  <c r="AA93" i="1"/>
  <c r="Y89" i="1"/>
  <c r="Y90" i="1"/>
  <c r="Y91" i="1"/>
  <c r="Y93" i="1"/>
  <c r="Y92" i="1"/>
  <c r="Y94" i="1"/>
  <c r="AN89" i="1"/>
  <c r="AN90" i="1"/>
  <c r="AN91" i="1"/>
  <c r="AN92" i="1"/>
  <c r="AN94" i="1"/>
  <c r="AN93" i="1"/>
  <c r="J89" i="1"/>
  <c r="J92" i="1"/>
  <c r="J90" i="1"/>
  <c r="J91" i="1"/>
  <c r="J93" i="1"/>
  <c r="J94" i="1"/>
  <c r="AG93" i="1"/>
  <c r="AG94" i="1"/>
  <c r="AG89" i="1"/>
  <c r="AG90" i="1"/>
  <c r="AG91" i="1"/>
  <c r="AG92" i="1"/>
  <c r="S91" i="1"/>
  <c r="S92" i="1"/>
  <c r="S93" i="1"/>
  <c r="S94" i="1"/>
  <c r="S90" i="1"/>
  <c r="S89" i="1"/>
  <c r="U89" i="1"/>
  <c r="U90" i="1"/>
  <c r="U91" i="1"/>
  <c r="U92" i="1"/>
  <c r="U93" i="1"/>
  <c r="U94" i="1"/>
  <c r="P94" i="1"/>
  <c r="P89" i="1"/>
  <c r="P90" i="1"/>
  <c r="P91" i="1"/>
  <c r="P93" i="1"/>
  <c r="P92" i="1"/>
  <c r="L90" i="1"/>
  <c r="L89" i="1"/>
  <c r="L93" i="1"/>
  <c r="L91" i="1"/>
  <c r="L92" i="1"/>
  <c r="L94" i="1"/>
  <c r="AI91" i="1"/>
  <c r="AI92" i="1"/>
  <c r="AI93" i="1"/>
  <c r="AI94" i="1"/>
  <c r="AI89" i="1"/>
  <c r="AI90" i="1"/>
  <c r="AJ90" i="1"/>
  <c r="AJ91" i="1"/>
  <c r="AJ92" i="1"/>
  <c r="AJ93" i="1"/>
  <c r="AJ94" i="1"/>
  <c r="AJ89" i="1"/>
  <c r="AQ94" i="1"/>
  <c r="AQ89" i="1"/>
  <c r="AQ90" i="1"/>
  <c r="AQ91" i="1"/>
  <c r="AQ92" i="1"/>
  <c r="AQ93" i="1"/>
  <c r="AF94" i="1"/>
  <c r="AF89" i="1"/>
  <c r="AF90" i="1"/>
  <c r="AF91" i="1"/>
  <c r="AF92" i="1"/>
  <c r="AF93" i="1"/>
  <c r="AM90" i="1"/>
  <c r="AM91" i="1"/>
  <c r="AM92" i="1"/>
  <c r="AM93" i="1"/>
  <c r="AM94" i="1"/>
  <c r="AM89" i="1"/>
  <c r="K89" i="1"/>
  <c r="K91" i="1"/>
  <c r="K90" i="1"/>
  <c r="K92" i="1"/>
  <c r="K93" i="1"/>
  <c r="K94" i="1"/>
  <c r="AH92" i="1"/>
  <c r="AH94" i="1"/>
  <c r="AH93" i="1"/>
  <c r="AH89" i="1"/>
  <c r="AH90" i="1"/>
  <c r="AH91" i="1"/>
  <c r="F93" i="1"/>
  <c r="F90" i="1"/>
  <c r="F91" i="1"/>
  <c r="F92" i="1"/>
  <c r="F94" i="1"/>
  <c r="F89" i="1"/>
  <c r="AC79" i="1"/>
  <c r="AI79" i="1"/>
  <c r="AL79" i="1"/>
  <c r="AK79" i="1"/>
  <c r="R79" i="1"/>
  <c r="AP79" i="1"/>
  <c r="T79" i="1"/>
  <c r="AV79" i="1"/>
  <c r="X79" i="1"/>
  <c r="AU79" i="1"/>
  <c r="AG79" i="1"/>
  <c r="S79" i="1"/>
  <c r="V79" i="1"/>
  <c r="Y79" i="1"/>
  <c r="AT79" i="1"/>
  <c r="AD79" i="1"/>
  <c r="AS79" i="1"/>
  <c r="AQ79" i="1"/>
  <c r="U79" i="1"/>
  <c r="AJ79" i="1"/>
  <c r="AH79" i="1"/>
  <c r="AE79" i="1"/>
  <c r="AO79" i="1"/>
  <c r="W79" i="1"/>
  <c r="AR79" i="1"/>
  <c r="AF79" i="1"/>
  <c r="AN79" i="1"/>
  <c r="Z79" i="1"/>
  <c r="Q79" i="1"/>
  <c r="Q99" i="1"/>
  <c r="Q97" i="1"/>
  <c r="Q98" i="1"/>
  <c r="Q102" i="1"/>
  <c r="Q101" i="1"/>
  <c r="Q100" i="1"/>
  <c r="AB79" i="1"/>
  <c r="AB97" i="1"/>
  <c r="AB101" i="1"/>
  <c r="AB99" i="1"/>
  <c r="AB100" i="1"/>
  <c r="AB98" i="1"/>
  <c r="AB102" i="1"/>
  <c r="AM79" i="1"/>
  <c r="AM97" i="1"/>
  <c r="AM102" i="1"/>
  <c r="AM101" i="1"/>
  <c r="AM98" i="1"/>
  <c r="AM99" i="1"/>
  <c r="AM100" i="1"/>
  <c r="F100" i="1"/>
  <c r="F97" i="1"/>
  <c r="F102" i="1"/>
  <c r="F101" i="1"/>
  <c r="F99" i="1"/>
  <c r="F98" i="1"/>
  <c r="I79" i="1"/>
  <c r="G79" i="1"/>
  <c r="M79" i="1"/>
  <c r="O79" i="1"/>
  <c r="J79" i="1"/>
  <c r="N79" i="1"/>
  <c r="L79" i="1"/>
  <c r="H79" i="1"/>
  <c r="P79" i="1"/>
  <c r="C8" i="45"/>
  <c r="AB50" i="42"/>
  <c r="E43" i="42"/>
  <c r="BQ49" i="42"/>
  <c r="AS49" i="42"/>
  <c r="T49" i="42"/>
  <c r="O49" i="42"/>
  <c r="F49" i="42"/>
  <c r="AY49" i="42"/>
  <c r="V49" i="42"/>
  <c r="BA49" i="42"/>
  <c r="BR49" i="42"/>
  <c r="BI49" i="42"/>
  <c r="AT49" i="42"/>
  <c r="U49" i="42"/>
  <c r="P49" i="42"/>
  <c r="BS49" i="42"/>
  <c r="AU49" i="42"/>
  <c r="W49" i="42"/>
  <c r="AW49" i="42"/>
  <c r="X49" i="42"/>
  <c r="Y49" i="42"/>
  <c r="Z49" i="42"/>
  <c r="BB49" i="42"/>
  <c r="BC49" i="42"/>
  <c r="BD49" i="42"/>
  <c r="AE49" i="42"/>
  <c r="AA49" i="42"/>
  <c r="Q49" i="42"/>
  <c r="BK49" i="42"/>
  <c r="BG49" i="42"/>
  <c r="AX49" i="42"/>
  <c r="BL49" i="42"/>
  <c r="AN49" i="42"/>
  <c r="I49" i="42"/>
  <c r="AO49" i="42"/>
  <c r="AD49" i="42"/>
  <c r="BE49" i="42"/>
  <c r="AF49" i="42"/>
  <c r="N49" i="42"/>
  <c r="AI49" i="42"/>
  <c r="AJ49" i="42"/>
  <c r="J49" i="42"/>
  <c r="BJ49" i="42"/>
  <c r="BF49" i="42"/>
  <c r="AG49" i="42"/>
  <c r="G49" i="42"/>
  <c r="AH49" i="42"/>
  <c r="H49" i="42"/>
  <c r="BH49" i="42"/>
  <c r="BM49" i="42"/>
  <c r="AC49" i="42"/>
  <c r="BN49" i="42"/>
  <c r="AP49" i="42"/>
  <c r="AK49" i="42"/>
  <c r="AB49" i="42"/>
  <c r="K49" i="42"/>
  <c r="AR49" i="42"/>
  <c r="S49" i="42"/>
  <c r="M49" i="42"/>
  <c r="AZ49" i="42"/>
  <c r="AV49" i="42"/>
  <c r="BO49" i="42"/>
  <c r="AQ49" i="42"/>
  <c r="AL49" i="42"/>
  <c r="R49" i="42"/>
  <c r="L49" i="42"/>
  <c r="BP49" i="42"/>
  <c r="AM49" i="42"/>
  <c r="BI50" i="42"/>
  <c r="BC50" i="42"/>
  <c r="AD50" i="42"/>
  <c r="Z50" i="42"/>
  <c r="BJ50" i="42"/>
  <c r="BF50" i="42"/>
  <c r="BD50" i="42"/>
  <c r="AE50" i="42"/>
  <c r="AA50" i="42"/>
  <c r="BE50" i="42"/>
  <c r="AF50" i="42"/>
  <c r="G50" i="42"/>
  <c r="BK50" i="42"/>
  <c r="AH50" i="42"/>
  <c r="Q50" i="42"/>
  <c r="BL50" i="42"/>
  <c r="BH50" i="42"/>
  <c r="AN50" i="42"/>
  <c r="BM50" i="42"/>
  <c r="AO50" i="42"/>
  <c r="BN50" i="42"/>
  <c r="AP50" i="42"/>
  <c r="AK50" i="42"/>
  <c r="L50" i="42"/>
  <c r="O50" i="42"/>
  <c r="BO50" i="42"/>
  <c r="AQ50" i="42"/>
  <c r="AL50" i="42"/>
  <c r="R50" i="42"/>
  <c r="M50" i="42"/>
  <c r="BQ50" i="42"/>
  <c r="AS50" i="42"/>
  <c r="T50" i="42"/>
  <c r="BR50" i="42"/>
  <c r="U50" i="42"/>
  <c r="BS50" i="42"/>
  <c r="AU50" i="42"/>
  <c r="BP50" i="42"/>
  <c r="AX50" i="42"/>
  <c r="AR50" i="42"/>
  <c r="S50" i="42"/>
  <c r="N50" i="42"/>
  <c r="AT50" i="42"/>
  <c r="P50" i="42"/>
  <c r="AY50" i="42"/>
  <c r="V50" i="42"/>
  <c r="J50" i="42"/>
  <c r="AJ50" i="42"/>
  <c r="AZ50" i="42"/>
  <c r="AV50" i="42"/>
  <c r="W50" i="42"/>
  <c r="X50" i="42"/>
  <c r="F50" i="42"/>
  <c r="AG50" i="42"/>
  <c r="BG50" i="42"/>
  <c r="I50" i="42"/>
  <c r="AI50" i="42"/>
  <c r="K50" i="42"/>
  <c r="BA50" i="42"/>
  <c r="AW50" i="42"/>
  <c r="BB50" i="42"/>
  <c r="AC50" i="42"/>
  <c r="Y50" i="42"/>
  <c r="H50" i="42"/>
  <c r="B43" i="42"/>
  <c r="K43" i="42"/>
  <c r="R61" i="42" l="1"/>
  <c r="F61" i="42"/>
  <c r="K29" i="45"/>
  <c r="K36" i="45" s="1"/>
  <c r="L36" i="45" s="1"/>
  <c r="K30" i="45"/>
  <c r="F112" i="1"/>
  <c r="L112" i="1" s="1"/>
  <c r="K32" i="45"/>
  <c r="L32" i="45" s="1"/>
  <c r="C20" i="45"/>
  <c r="D20" i="45" s="1"/>
  <c r="C22" i="45"/>
  <c r="D22" i="45" s="1"/>
  <c r="C21" i="45"/>
  <c r="D21" i="45" s="1"/>
  <c r="C19" i="45"/>
  <c r="D19" i="45" s="1"/>
  <c r="AC104" i="1"/>
  <c r="G104" i="1"/>
  <c r="R104" i="1"/>
  <c r="AN104" i="1"/>
  <c r="BC61" i="42"/>
  <c r="BC65" i="42" s="1"/>
  <c r="K37" i="45"/>
  <c r="L37" i="45" s="1"/>
  <c r="K34" i="45"/>
  <c r="L34" i="45" s="1"/>
  <c r="H99" i="1"/>
  <c r="S101" i="1"/>
  <c r="AD102" i="1"/>
  <c r="S102" i="1"/>
  <c r="S100" i="1"/>
  <c r="AO100" i="1"/>
  <c r="AO97" i="1"/>
  <c r="S99" i="1"/>
  <c r="S97" i="1"/>
  <c r="H98" i="1"/>
  <c r="AD99" i="1"/>
  <c r="H97" i="1"/>
  <c r="AO102" i="1"/>
  <c r="AD101" i="1"/>
  <c r="H102" i="1"/>
  <c r="AO99" i="1"/>
  <c r="AD98" i="1"/>
  <c r="H101" i="1"/>
  <c r="AO101" i="1"/>
  <c r="AD100" i="1"/>
  <c r="H100" i="1"/>
  <c r="AO98" i="1"/>
  <c r="S98" i="1"/>
  <c r="AD97" i="1"/>
  <c r="J61" i="42"/>
  <c r="J65" i="42" s="1"/>
  <c r="AJ61" i="42"/>
  <c r="AJ65" i="42" s="1"/>
  <c r="AM50" i="42"/>
  <c r="AM61" i="42" s="1"/>
  <c r="M61" i="42"/>
  <c r="M65" i="42" s="1"/>
  <c r="BJ61" i="42"/>
  <c r="V61" i="42"/>
  <c r="V65" i="42" s="1"/>
  <c r="AY61" i="42"/>
  <c r="BB61" i="42"/>
  <c r="BB65" i="42" s="1"/>
  <c r="BR61" i="42"/>
  <c r="G61" i="42"/>
  <c r="U61" i="42"/>
  <c r="U65" i="42" s="1"/>
  <c r="AV61" i="42"/>
  <c r="BK61" i="42"/>
  <c r="AZ61" i="42"/>
  <c r="BF61" i="42"/>
  <c r="BF65" i="42" s="1"/>
  <c r="Q61" i="42"/>
  <c r="BI61" i="42"/>
  <c r="BG61" i="42"/>
  <c r="BO61" i="42"/>
  <c r="BO65" i="42" s="1"/>
  <c r="AG61" i="42"/>
  <c r="AG65" i="42" s="1"/>
  <c r="AT61" i="42"/>
  <c r="AT65" i="42" s="1"/>
  <c r="AA61" i="42"/>
  <c r="S61" i="42"/>
  <c r="AE61" i="42"/>
  <c r="BA61" i="42"/>
  <c r="AR61" i="42"/>
  <c r="AR65" i="42" s="1"/>
  <c r="BD61" i="42"/>
  <c r="BD65" i="42" s="1"/>
  <c r="K61" i="42"/>
  <c r="K65" i="42" s="1"/>
  <c r="AI61" i="42"/>
  <c r="AI65" i="42" s="1"/>
  <c r="AB61" i="42"/>
  <c r="N61" i="42"/>
  <c r="N65" i="42" s="1"/>
  <c r="AK61" i="42"/>
  <c r="AF61" i="42"/>
  <c r="AF65" i="42" s="1"/>
  <c r="Z61" i="42"/>
  <c r="O61" i="42"/>
  <c r="AP61" i="42"/>
  <c r="BE61" i="42"/>
  <c r="BE65" i="42" s="1"/>
  <c r="Y61" i="42"/>
  <c r="Y65" i="42" s="1"/>
  <c r="T61" i="42"/>
  <c r="BN61" i="42"/>
  <c r="BN65" i="42" s="1"/>
  <c r="AD61" i="42"/>
  <c r="X61" i="42"/>
  <c r="X65" i="42" s="1"/>
  <c r="AS61" i="42"/>
  <c r="AS65" i="42" s="1"/>
  <c r="BP61" i="42"/>
  <c r="BP65" i="42" s="1"/>
  <c r="AC61" i="42"/>
  <c r="AO61" i="42"/>
  <c r="AW61" i="42"/>
  <c r="BQ61" i="42"/>
  <c r="BQ65" i="42" s="1"/>
  <c r="L61" i="42"/>
  <c r="L65" i="42" s="1"/>
  <c r="BM61" i="42"/>
  <c r="BM65" i="42" s="1"/>
  <c r="I61" i="42"/>
  <c r="W61" i="42"/>
  <c r="W65" i="42" s="1"/>
  <c r="BH61" i="42"/>
  <c r="AN61" i="42"/>
  <c r="AU61" i="42"/>
  <c r="AU65" i="42" s="1"/>
  <c r="AL61" i="42"/>
  <c r="H61" i="42"/>
  <c r="BL61" i="42"/>
  <c r="BS61" i="42"/>
  <c r="AQ61" i="42"/>
  <c r="AQ65" i="42" s="1"/>
  <c r="AH61" i="42"/>
  <c r="AH65" i="42" s="1"/>
  <c r="AX61" i="42"/>
  <c r="P61" i="42"/>
  <c r="J26" i="15"/>
  <c r="J25" i="15"/>
  <c r="K25" i="15" s="1"/>
  <c r="L25" i="15" s="1"/>
  <c r="J24" i="15"/>
  <c r="K24" i="15" s="1"/>
  <c r="L24" i="15" s="1"/>
  <c r="J27" i="15"/>
  <c r="K27" i="15" s="1"/>
  <c r="L27" i="15" s="1"/>
  <c r="J28" i="15"/>
  <c r="K28" i="15" s="1"/>
  <c r="L28" i="15" s="1"/>
  <c r="J29" i="15"/>
  <c r="K29" i="15" s="1"/>
  <c r="L29" i="15" s="1"/>
  <c r="J30" i="15"/>
  <c r="K30" i="15" s="1"/>
  <c r="L30" i="15" s="1"/>
  <c r="AY63" i="42" l="1"/>
  <c r="BK63" i="42"/>
  <c r="AP63" i="42"/>
  <c r="AP64" i="42" s="1"/>
  <c r="AP65" i="42" s="1"/>
  <c r="AZ63" i="42"/>
  <c r="BL63" i="42"/>
  <c r="BL64" i="42" s="1"/>
  <c r="BL65" i="42" s="1"/>
  <c r="BA63" i="42"/>
  <c r="F63" i="42"/>
  <c r="F64" i="42" s="1"/>
  <c r="R63" i="42"/>
  <c r="R64" i="42" s="1"/>
  <c r="R65" i="42" s="1"/>
  <c r="AB63" i="42"/>
  <c r="AB64" i="42" s="1"/>
  <c r="AB65" i="42" s="1"/>
  <c r="AM63" i="42"/>
  <c r="AM64" i="42" s="1"/>
  <c r="AM65" i="42" s="1"/>
  <c r="Q63" i="42"/>
  <c r="Q64" i="42" s="1"/>
  <c r="Q65" i="42" s="1"/>
  <c r="BI63" i="42"/>
  <c r="BI64" i="42" s="1"/>
  <c r="BI65" i="42" s="1"/>
  <c r="AC63" i="42"/>
  <c r="G63" i="42"/>
  <c r="AX63" i="42"/>
  <c r="AN63" i="42"/>
  <c r="AD63" i="42"/>
  <c r="AD64" i="42" s="1"/>
  <c r="AD65" i="42" s="1"/>
  <c r="S63" i="42"/>
  <c r="S64" i="42" s="1"/>
  <c r="S65" i="42" s="1"/>
  <c r="H63" i="42"/>
  <c r="H64" i="42" s="1"/>
  <c r="H65" i="42" s="1"/>
  <c r="BJ63" i="42"/>
  <c r="BJ64" i="42" s="1"/>
  <c r="BJ65" i="42" s="1"/>
  <c r="AO63" i="42"/>
  <c r="AO64" i="42" s="1"/>
  <c r="AO65" i="42" s="1"/>
  <c r="AE63" i="42"/>
  <c r="AE64" i="42" s="1"/>
  <c r="AE65" i="42" s="1"/>
  <c r="T63" i="42"/>
  <c r="T64" i="42" s="1"/>
  <c r="T65" i="42" s="1"/>
  <c r="I63" i="42"/>
  <c r="I64" i="42" s="1"/>
  <c r="I65" i="42" s="1"/>
  <c r="L33" i="45"/>
  <c r="K35" i="45"/>
  <c r="L35" i="45" s="1"/>
  <c r="L38" i="45" s="1"/>
  <c r="K33" i="45"/>
  <c r="BK64" i="42"/>
  <c r="BK65" i="42" s="1"/>
  <c r="BA64" i="42"/>
  <c r="BA65" i="42" s="1"/>
  <c r="AX64" i="42"/>
  <c r="AX65" i="42" s="1"/>
  <c r="AZ64" i="42"/>
  <c r="AZ65" i="42" s="1"/>
  <c r="AN64" i="42"/>
  <c r="AN65" i="42" s="1"/>
  <c r="F65" i="42"/>
  <c r="AC64" i="42"/>
  <c r="AC65" i="42" s="1"/>
  <c r="G64" i="42"/>
  <c r="G65" i="42" s="1"/>
  <c r="AY64" i="42"/>
  <c r="AY65" i="42" s="1"/>
  <c r="G106" i="1"/>
  <c r="J17" i="45"/>
  <c r="D25" i="45"/>
  <c r="K16" i="45" s="1"/>
  <c r="J16" i="45"/>
  <c r="K26" i="15"/>
  <c r="G14" i="41"/>
  <c r="L26" i="15"/>
  <c r="I3" i="41"/>
  <c r="J22" i="15"/>
  <c r="C49" i="45" l="1"/>
  <c r="D49" i="45" s="1"/>
  <c r="C48" i="45"/>
  <c r="D48" i="45" s="1"/>
  <c r="C46" i="45"/>
  <c r="D46" i="45" s="1"/>
  <c r="C47" i="45"/>
  <c r="D47" i="45" s="1"/>
  <c r="C45" i="45"/>
  <c r="D45" i="45" s="1"/>
  <c r="K17" i="45"/>
  <c r="C7" i="45"/>
  <c r="K14" i="41"/>
  <c r="J14" i="41"/>
  <c r="I14" i="41"/>
  <c r="H14" i="41"/>
  <c r="J3" i="41"/>
  <c r="K3" i="41"/>
  <c r="K22" i="15"/>
  <c r="L22" i="15"/>
  <c r="D50" i="45" l="1"/>
  <c r="C9" i="45" s="1"/>
  <c r="K24" i="45"/>
  <c r="L24" i="45" s="1"/>
  <c r="K23" i="45"/>
  <c r="L23" i="45" s="1"/>
  <c r="K22" i="45"/>
  <c r="L22" i="45" s="1"/>
  <c r="K21" i="45"/>
  <c r="L21" i="45" s="1"/>
  <c r="K20" i="45"/>
  <c r="L20" i="45" s="1"/>
  <c r="K19" i="45"/>
  <c r="L19" i="45" s="1"/>
  <c r="L25" i="45" l="1"/>
</calcChain>
</file>

<file path=xl/sharedStrings.xml><?xml version="1.0" encoding="utf-8"?>
<sst xmlns="http://schemas.openxmlformats.org/spreadsheetml/2006/main" count="927" uniqueCount="378">
  <si>
    <t>LOCATION:</t>
  </si>
  <si>
    <t>MDOT Traffic and Safety Support Area</t>
  </si>
  <si>
    <t>SIGNAL - SPOT</t>
  </si>
  <si>
    <t>Revised</t>
  </si>
  <si>
    <t>Total Weight</t>
  </si>
  <si>
    <t>lbs</t>
  </si>
  <si>
    <t>ft</t>
  </si>
  <si>
    <t xml:space="preserve"> </t>
  </si>
  <si>
    <t>Code</t>
  </si>
  <si>
    <t>Description</t>
  </si>
  <si>
    <t>Comment/Detail</t>
  </si>
  <si>
    <t>Weight***
(lbs)</t>
  </si>
  <si>
    <t>Height**</t>
  </si>
  <si>
    <t>inches</t>
  </si>
  <si>
    <t>feet</t>
  </si>
  <si>
    <t>v1.0</t>
  </si>
  <si>
    <r>
      <t xml:space="preserve">a.  The Mast Arm Assembly ID is shown in the bottom right corner on the </t>
    </r>
    <r>
      <rPr>
        <b/>
        <i/>
        <sz val="10"/>
        <color indexed="8"/>
        <rFont val="Arial"/>
        <family val="2"/>
      </rPr>
      <t>Arm1Design</t>
    </r>
    <r>
      <rPr>
        <sz val="10"/>
        <color indexed="8"/>
        <rFont val="Arial"/>
        <family val="2"/>
      </rPr>
      <t xml:space="preserve"> tab..</t>
    </r>
  </si>
  <si>
    <t>Sign Weight (lbs)</t>
  </si>
  <si>
    <t>or</t>
  </si>
  <si>
    <t>Sign Width (in.)</t>
  </si>
  <si>
    <t>Sign Height (in.)</t>
  </si>
  <si>
    <t>0.4375"-18.00" x 14.78" x 23'-0"</t>
  </si>
  <si>
    <t>0.4375"-18.00" x 13.94" x 29'-0"</t>
  </si>
  <si>
    <t>Pole Height (ft)</t>
  </si>
  <si>
    <t>Max Outside Diameter (in)</t>
  </si>
  <si>
    <t>Min Outside Diameter (in)</t>
  </si>
  <si>
    <t>Thickness (in)</t>
  </si>
  <si>
    <t>Mast Arm 1</t>
  </si>
  <si>
    <t>Mast Arm 2</t>
  </si>
  <si>
    <t>Mast Arm Dimensions</t>
  </si>
  <si>
    <t>Mast Arm Length (ft)</t>
  </si>
  <si>
    <t>0.1793"-16.5" x 13.70" x 20'-0"</t>
  </si>
  <si>
    <t>0.1793"-16.5" x 12.30" x 30'-0"</t>
  </si>
  <si>
    <t>0.1793"-16.5" x 13.00" x 25'-0"</t>
  </si>
  <si>
    <t>0.4290"-16.5" x 13.70" x 20'-0"</t>
  </si>
  <si>
    <t>SIGNAL TYPE</t>
  </si>
  <si>
    <t>0.2500"-9.50" x 6.00" x 25'-0"</t>
  </si>
  <si>
    <t>0.2500"-8.50" x 5.70" x 20'-0"</t>
  </si>
  <si>
    <t>0.2500"-10.50" x 6.30" x 30'-0"</t>
  </si>
  <si>
    <t>0.2500"-8.00" x 5.20" x 20'-0"</t>
  </si>
  <si>
    <t>0.2500"-8.00" x 4.50" x 25'-0"</t>
  </si>
  <si>
    <t>0.2500"-8.00" x 3.80" x 30"-0"</t>
  </si>
  <si>
    <t>0.2500"-11.00" x 6.10" x 35'-0"</t>
  </si>
  <si>
    <t>0.2500"-11.00" x 5.40" x 40'-0"</t>
  </si>
  <si>
    <t>0.4290"-17.5" x 14.70" x 20'-0"</t>
  </si>
  <si>
    <t>0.4290"-13.50" x 12.10" x 10'-0"</t>
  </si>
  <si>
    <t>0.5000"-13.50" x 12.10" x 10'-0"</t>
  </si>
  <si>
    <t>0.4290"-15.00" x 12.90" x 15'-0"</t>
  </si>
  <si>
    <t>0.5000"-15.50" x 12.70" x 20'-0"</t>
  </si>
  <si>
    <t>0.3125"-11.00" x 8.66" x 16'-9"</t>
  </si>
  <si>
    <t>0.3750"-15.00" x 12.66" x 16'-9"</t>
  </si>
  <si>
    <t>X Arm</t>
  </si>
  <si>
    <t>Y Arm</t>
  </si>
  <si>
    <t>X Pole</t>
  </si>
  <si>
    <t>Y Pole</t>
  </si>
  <si>
    <t>Signal/Sign 10 Global X</t>
  </si>
  <si>
    <t>Signal/Sign 9 Global X</t>
  </si>
  <si>
    <t>Signal/Sign 8 Global X</t>
  </si>
  <si>
    <t>Signal/Sign 7 Global X</t>
  </si>
  <si>
    <t>Signal/Sign 6 Global X</t>
  </si>
  <si>
    <t>Signal/Sign 5 Global X</t>
  </si>
  <si>
    <t>Signal/Sign 4 Global X</t>
  </si>
  <si>
    <t>Signal/Sign 3 Global X</t>
  </si>
  <si>
    <t>Signal/Sign 2 Global X</t>
  </si>
  <si>
    <t>Signal/Sign 1 Global X</t>
  </si>
  <si>
    <t>Signal/Sign 10 Global Y</t>
  </si>
  <si>
    <t>Signal/Sign 9 Global Y</t>
  </si>
  <si>
    <t>Signal/Sign 8 Global Y</t>
  </si>
  <si>
    <t>Signal/Sign 7 Global Y</t>
  </si>
  <si>
    <t>Signal/Sign 6 Global Y</t>
  </si>
  <si>
    <t>Signal/Sign 5 Global Y</t>
  </si>
  <si>
    <t>Signal/Sign 4 Global Y</t>
  </si>
  <si>
    <t>Signal/Sign 3 Global Y</t>
  </si>
  <si>
    <t>Signal/Sign 2 Global Y</t>
  </si>
  <si>
    <t>Signal/Sign 1 Global Y</t>
  </si>
  <si>
    <t>Signal/Sign 1</t>
  </si>
  <si>
    <t>Signal/Sign 2</t>
  </si>
  <si>
    <t>Signal/Sign 3</t>
  </si>
  <si>
    <t>Signal/Sign 4</t>
  </si>
  <si>
    <t>Signal/Sign 5</t>
  </si>
  <si>
    <t>Signal/Sign 6</t>
  </si>
  <si>
    <t>Signal/Sign 7</t>
  </si>
  <si>
    <t>Signal/Sign 8</t>
  </si>
  <si>
    <t>Signal/Sign 9</t>
  </si>
  <si>
    <t>Signal/Sign 10</t>
  </si>
  <si>
    <t>Pole Dimensions</t>
  </si>
  <si>
    <t>Pole Height</t>
  </si>
  <si>
    <t>Min. Diameter (in)</t>
  </si>
  <si>
    <t>Max. Diameter (in)</t>
  </si>
  <si>
    <t>0.4375"-14.00" x 11.06" x 21'-0"</t>
  </si>
  <si>
    <t>0.4375"-14.00" x 9.80" x 30'-0"</t>
  </si>
  <si>
    <t>0.4375"-14.00" x 8.96" x 36'-0"</t>
  </si>
  <si>
    <t>0.4375"-14.00" x 8.40" x 40'-0"</t>
  </si>
  <si>
    <t>Luminaire Arm</t>
  </si>
  <si>
    <t xml:space="preserve">Mast Arm Length (ft) </t>
  </si>
  <si>
    <t>YES</t>
  </si>
  <si>
    <t>NO</t>
  </si>
  <si>
    <t>&lt;50</t>
  </si>
  <si>
    <t>0.5000"-18.00" x 14.78" x 23'-0"</t>
  </si>
  <si>
    <t>0.5000"-18.00" x 13.94" x 29'-0"</t>
  </si>
  <si>
    <t>&lt;35</t>
  </si>
  <si>
    <t>Luminaire</t>
  </si>
  <si>
    <t>Mast Arm 1 Length</t>
  </si>
  <si>
    <t>Mast Arm 2 Length</t>
  </si>
  <si>
    <t>Pole Size</t>
  </si>
  <si>
    <t>Results</t>
  </si>
  <si>
    <t>Mast Arm 1 Equipment</t>
  </si>
  <si>
    <t>Mast Arm 2 Equipment</t>
  </si>
  <si>
    <r>
      <t xml:space="preserve">1. In the </t>
    </r>
    <r>
      <rPr>
        <b/>
        <i/>
        <sz val="10"/>
        <rFont val="Arial"/>
        <family val="2"/>
      </rPr>
      <t>Mast Arm 1 Design</t>
    </r>
    <r>
      <rPr>
        <sz val="10"/>
        <rFont val="Arial"/>
        <family val="2"/>
      </rPr>
      <t xml:space="preserve"> tab, enter the following data:</t>
    </r>
  </si>
  <si>
    <r>
      <t xml:space="preserve">2. In the </t>
    </r>
    <r>
      <rPr>
        <b/>
        <i/>
        <sz val="10"/>
        <rFont val="Arial"/>
        <family val="2"/>
      </rPr>
      <t>Mast Arm 2 Design</t>
    </r>
    <r>
      <rPr>
        <sz val="10"/>
        <rFont val="Arial"/>
        <family val="2"/>
      </rPr>
      <t xml:space="preserve"> tab, enter "None" for the "Arm 2 Length".</t>
    </r>
  </si>
  <si>
    <t>Mast Arm Pole</t>
  </si>
  <si>
    <t>Category</t>
  </si>
  <si>
    <t>I</t>
  </si>
  <si>
    <t>II</t>
  </si>
  <si>
    <t>III</t>
  </si>
  <si>
    <t>Mast Arm Span</t>
  </si>
  <si>
    <t>24x96 Street Name Sign</t>
  </si>
  <si>
    <t>Dist. (ft)</t>
  </si>
  <si>
    <t>Weight (lbs.)</t>
  </si>
  <si>
    <t>TL1 (1W-3C Signal)</t>
  </si>
  <si>
    <t>TL2 (1W-3C Signal)</t>
  </si>
  <si>
    <t>TL3 (1W-3C Signal)</t>
  </si>
  <si>
    <t>TL4 (1W-5C Doghouse Signal)</t>
  </si>
  <si>
    <t>Total</t>
  </si>
  <si>
    <t>Mast Arm 1 Arm Length</t>
  </si>
  <si>
    <t>Mast Arm 2 Arm Length</t>
  </si>
  <si>
    <t>Mast Arm 1 Member</t>
  </si>
  <si>
    <t>Mast Arm 2 Member</t>
  </si>
  <si>
    <t>Mast Arm 1 Category</t>
  </si>
  <si>
    <t>Mast Arm 2 Category</t>
  </si>
  <si>
    <t>Totals</t>
  </si>
  <si>
    <t>Summary</t>
  </si>
  <si>
    <t>Luminaire Arm Span</t>
  </si>
  <si>
    <t>(for Cat III Structures)</t>
  </si>
  <si>
    <t>Luminaire Arm Span (ft)</t>
  </si>
  <si>
    <t>Engineering Manual Preamble</t>
  </si>
  <si>
    <t>1.</t>
  </si>
  <si>
    <t>Hold paramount the safety, health, and welfare of the public.</t>
  </si>
  <si>
    <t>2.</t>
  </si>
  <si>
    <t>Perform Services only in areas of their competence.</t>
  </si>
  <si>
    <t>3.</t>
  </si>
  <si>
    <t>Issue public statement only in an objective and truthful manner.</t>
  </si>
  <si>
    <t>4.</t>
  </si>
  <si>
    <t>Act for each employer or client as faithful agents or trustees.</t>
  </si>
  <si>
    <t>5.</t>
  </si>
  <si>
    <t>Avoid deceptive acts.</t>
  </si>
  <si>
    <t>6.</t>
  </si>
  <si>
    <t>Conduct themselves honorably, reasonably, ethically and lawfully so as to enhance the honor, reputation, and usefulness of the profession.</t>
  </si>
  <si>
    <t>This tool provides guidance to administrative, engineering, and technical staff. Engineering practice requires that professionals use a combination of technical skills and judgment in decision making. Engineering judgment is necessary to allow decisions to account for unique site-specific conditions and considerations to provide high quality products, within budget, and to protect the public health, safety, and welfare. This tool provides the general operational guidelines; however, it is understood that adaptation, adjustments, and deviations are sometimes necessary. Innovation is a key foundational element to advance the state of engineering practice and develop more effective and efficient engineering solutions and materials. As such, it is essential that our engineering manuals provide a vehicle to promote, pilot, or implement technologies or practices that provide efficiencies and quality products, while maintaining the safety, health, and welfare of the public. It is expected when making significant or impactful deviations from the technical information from these guidance materials, that reasonable consultations with experts, technical committees, and/or policy setting bodies occur prior to actions within the timeframes allowed. It is also expected that these consultations will eliminate any potential conflicts of interest, perceived or otherwise. MDOT Leadership is committed to a culture of innovation to optimize engineering solutions. The National Society of Professional Engineers Code of Ethics for Engineering is founded on six fundamental canons. Those canons are provided below. Engineers, in the fulfillment of their professional duties, shall:</t>
  </si>
  <si>
    <t>Legend</t>
  </si>
  <si>
    <t>Inputs</t>
  </si>
  <si>
    <t>Referenced Inputs</t>
  </si>
  <si>
    <t>Calculated Values</t>
  </si>
  <si>
    <t xml:space="preserve">Key Values </t>
  </si>
  <si>
    <t>Width
(ft)</t>
  </si>
  <si>
    <t>Moment (lbs-ft)</t>
  </si>
  <si>
    <t>Demand</t>
  </si>
  <si>
    <t>SIG-031-A Primary Mast Arm Size</t>
  </si>
  <si>
    <t>SIG-031-A Secondary Mast Arm Size</t>
  </si>
  <si>
    <t>SIG-032-A Primary Mast Arm Size</t>
  </si>
  <si>
    <t>SIG-032-A Secondary Mast Arm Size</t>
  </si>
  <si>
    <t>SIG-033-A Primary Mast Arm Size</t>
  </si>
  <si>
    <t>SIG-033-A Secondary Mast Arm Size</t>
  </si>
  <si>
    <t>SIG-031-A Pole Dimensions</t>
  </si>
  <si>
    <t>SIG-032-A Pole Dimensions</t>
  </si>
  <si>
    <t>SIG-033-A Pole Dimensions</t>
  </si>
  <si>
    <t>0.313"-15.00" x 11.78" x 23'-0"</t>
  </si>
  <si>
    <t>0.313"-15.00" x 10.94" x 29'-0"</t>
  </si>
  <si>
    <t>0.429"-15.00" x 11.78" x 23'-0"</t>
  </si>
  <si>
    <t>0.429"-15.00" x 10.94" x 29'-0"</t>
  </si>
  <si>
    <t>Trans Area
(sft)</t>
  </si>
  <si>
    <t>Bot Area
(sft)</t>
  </si>
  <si>
    <t>Depth
(ft)</t>
  </si>
  <si>
    <t>Signal Perp. Area (sft)</t>
  </si>
  <si>
    <t>Sign Perp. Area (sft)</t>
  </si>
  <si>
    <r>
      <t>Signal A</t>
    </r>
    <r>
      <rPr>
        <vertAlign val="subscript"/>
        <sz val="10"/>
        <rFont val="Arial"/>
        <family val="2"/>
      </rPr>
      <t>perp</t>
    </r>
    <r>
      <rPr>
        <sz val="10"/>
        <rFont val="Arial"/>
        <family val="2"/>
      </rPr>
      <t>*d (sft-ft)</t>
    </r>
  </si>
  <si>
    <r>
      <t>Sign A</t>
    </r>
    <r>
      <rPr>
        <vertAlign val="subscript"/>
        <sz val="10"/>
        <rFont val="Arial"/>
        <family val="2"/>
      </rPr>
      <t>perp</t>
    </r>
    <r>
      <rPr>
        <sz val="10"/>
        <rFont val="Arial"/>
        <family val="2"/>
      </rPr>
      <t>*d (sft-ft)</t>
    </r>
  </si>
  <si>
    <t>Signal Bot. Area (sft)</t>
  </si>
  <si>
    <r>
      <t>Signal A</t>
    </r>
    <r>
      <rPr>
        <vertAlign val="subscript"/>
        <sz val="10"/>
        <rFont val="Arial"/>
        <family val="2"/>
      </rPr>
      <t>bot</t>
    </r>
    <r>
      <rPr>
        <sz val="10"/>
        <rFont val="Arial"/>
        <family val="2"/>
      </rPr>
      <t>*d (sft-ft)</t>
    </r>
  </si>
  <si>
    <t>Signal Designers</t>
  </si>
  <si>
    <t>Role</t>
  </si>
  <si>
    <t>Initials</t>
  </si>
  <si>
    <t>Date</t>
  </si>
  <si>
    <t>Doer</t>
  </si>
  <si>
    <t>Checker</t>
  </si>
  <si>
    <t>Perp. Area (sft)</t>
  </si>
  <si>
    <r>
      <t>A</t>
    </r>
    <r>
      <rPr>
        <b/>
        <vertAlign val="subscript"/>
        <sz val="11"/>
        <color theme="1"/>
        <rFont val="Calibri"/>
        <family val="2"/>
        <scheme val="minor"/>
      </rPr>
      <t>Perp</t>
    </r>
    <r>
      <rPr>
        <b/>
        <sz val="11"/>
        <color theme="1"/>
        <rFont val="Calibri"/>
        <family val="2"/>
        <scheme val="minor"/>
      </rPr>
      <t>*d (sft-ft)</t>
    </r>
  </si>
  <si>
    <t>Bot. Area (sft)</t>
  </si>
  <si>
    <r>
      <t>A</t>
    </r>
    <r>
      <rPr>
        <b/>
        <vertAlign val="subscript"/>
        <sz val="11"/>
        <color theme="1"/>
        <rFont val="Calibri"/>
        <family val="2"/>
        <scheme val="minor"/>
      </rPr>
      <t>Bot</t>
    </r>
    <r>
      <rPr>
        <b/>
        <sz val="11"/>
        <color theme="1"/>
        <rFont val="Calibri"/>
        <family val="2"/>
        <scheme val="minor"/>
      </rPr>
      <t>*d (sft-ft)</t>
    </r>
  </si>
  <si>
    <t>Total Perp. Area</t>
  </si>
  <si>
    <r>
      <t>Total A</t>
    </r>
    <r>
      <rPr>
        <b/>
        <vertAlign val="subscript"/>
        <sz val="10"/>
        <rFont val="Arial"/>
        <family val="2"/>
      </rPr>
      <t>Perp</t>
    </r>
    <r>
      <rPr>
        <b/>
        <sz val="10"/>
        <rFont val="Arial"/>
        <family val="2"/>
      </rPr>
      <t>*d</t>
    </r>
  </si>
  <si>
    <t>Total Bot. Area</t>
  </si>
  <si>
    <r>
      <t>Total A</t>
    </r>
    <r>
      <rPr>
        <b/>
        <vertAlign val="subscript"/>
        <sz val="10"/>
        <rFont val="Arial"/>
        <family val="2"/>
      </rPr>
      <t>Bot</t>
    </r>
    <r>
      <rPr>
        <b/>
        <sz val="10"/>
        <rFont val="Arial"/>
        <family val="2"/>
      </rPr>
      <t>*d</t>
    </r>
  </si>
  <si>
    <t>•</t>
  </si>
  <si>
    <t>Initial release</t>
  </si>
  <si>
    <t>Instructions</t>
  </si>
  <si>
    <t>If Twin Mast Arms:</t>
  </si>
  <si>
    <t>If Single Mast Arm:</t>
  </si>
  <si>
    <t>Mast Arm Inboard Arm Size</t>
  </si>
  <si>
    <t>Mast Arm Outboard Size</t>
  </si>
  <si>
    <r>
      <t xml:space="preserve">In the </t>
    </r>
    <r>
      <rPr>
        <b/>
        <i/>
        <sz val="10"/>
        <rFont val="Arial"/>
        <family val="2"/>
      </rPr>
      <t>Results</t>
    </r>
    <r>
      <rPr>
        <sz val="10"/>
        <rFont val="Arial"/>
        <family val="2"/>
      </rPr>
      <t xml:space="preserve"> tab, check the PASS/FAIL cells for each arm. </t>
    </r>
  </si>
  <si>
    <t>If FAIL is reported, the spreadsheet will check whether using the next arm size up will work or not.</t>
  </si>
  <si>
    <t xml:space="preserve">If PASS is reported for each arm, the inputs are good.  </t>
  </si>
  <si>
    <r>
      <t xml:space="preserve">The user can return to the </t>
    </r>
    <r>
      <rPr>
        <b/>
        <i/>
        <sz val="10"/>
        <color theme="1"/>
        <rFont val="Arial"/>
        <family val="2"/>
      </rPr>
      <t>Mast Arm 1 Design</t>
    </r>
    <r>
      <rPr>
        <sz val="10"/>
        <color theme="1"/>
        <rFont val="Arial"/>
        <family val="2"/>
      </rPr>
      <t xml:space="preserve"> tab or</t>
    </r>
    <r>
      <rPr>
        <b/>
        <i/>
        <sz val="10"/>
        <color theme="1"/>
        <rFont val="Arial"/>
        <family val="2"/>
      </rPr>
      <t xml:space="preserve"> Mast Arm 2 Design</t>
    </r>
    <r>
      <rPr>
        <sz val="10"/>
        <color theme="1"/>
        <rFont val="Arial"/>
        <family val="2"/>
      </rPr>
      <t xml:space="preserve"> tabs to try a different arm size and then re-check the Results tab.</t>
    </r>
  </si>
  <si>
    <r>
      <t xml:space="preserve">1. In the </t>
    </r>
    <r>
      <rPr>
        <b/>
        <i/>
        <sz val="10"/>
        <rFont val="Arial"/>
        <family val="2"/>
      </rPr>
      <t xml:space="preserve">Mast Arm 1 Design </t>
    </r>
    <r>
      <rPr>
        <sz val="10"/>
        <rFont val="Arial"/>
        <family val="2"/>
      </rPr>
      <t xml:space="preserve"> tab, enter the Arm 1 data (see above).</t>
    </r>
  </si>
  <si>
    <r>
      <t>2. In the</t>
    </r>
    <r>
      <rPr>
        <b/>
        <i/>
        <sz val="10"/>
        <rFont val="Arial"/>
        <family val="2"/>
      </rPr>
      <t xml:space="preserve"> Mast Arm 2 Design </t>
    </r>
    <r>
      <rPr>
        <sz val="10"/>
        <rFont val="Arial"/>
        <family val="2"/>
      </rPr>
      <t xml:space="preserve"> tab, enter the following data .</t>
    </r>
  </si>
  <si>
    <t>a.  Category, Arm Length, and Direction the arm is pointing (e.g. North/West/East)</t>
  </si>
  <si>
    <t>a.  Arm Length and Direction the arm is pointing (e.g. North/West/East)</t>
  </si>
  <si>
    <t>(Select "Yes" if Luminaire may be added by others in the future)</t>
  </si>
  <si>
    <t>Hemispherical Video Detection</t>
  </si>
  <si>
    <t>Microwave Vehicle Detector</t>
  </si>
  <si>
    <t>Radar Vehicle Detector</t>
  </si>
  <si>
    <t>Antenna</t>
  </si>
  <si>
    <t>GPM Module</t>
  </si>
  <si>
    <t>Equipment TYPE</t>
  </si>
  <si>
    <t>Additional Equipment Weight (lbs)</t>
  </si>
  <si>
    <t>Additional Equipment Width (in.)</t>
  </si>
  <si>
    <t xml:space="preserve">Additional Equipment depth (in.) </t>
  </si>
  <si>
    <t>Additional  Equipment Weight (lbs)</t>
  </si>
  <si>
    <t>Additional Equipment Perp. Area (sft)</t>
  </si>
  <si>
    <r>
      <t>Additional Equipment A</t>
    </r>
    <r>
      <rPr>
        <vertAlign val="subscript"/>
        <sz val="10"/>
        <rFont val="Arial"/>
        <family val="2"/>
      </rPr>
      <t>perp</t>
    </r>
    <r>
      <rPr>
        <sz val="10"/>
        <rFont val="Arial"/>
        <family val="2"/>
      </rPr>
      <t>*d (sft-ft)</t>
    </r>
  </si>
  <si>
    <t>Additional Equipment Bot. Area (sft)</t>
  </si>
  <si>
    <r>
      <t>Additional Equipment A</t>
    </r>
    <r>
      <rPr>
        <vertAlign val="subscript"/>
        <sz val="10"/>
        <rFont val="Arial"/>
        <family val="2"/>
      </rPr>
      <t>bot</t>
    </r>
    <r>
      <rPr>
        <sz val="10"/>
        <rFont val="Arial"/>
        <family val="2"/>
      </rPr>
      <t>*d (sft-ft)</t>
    </r>
  </si>
  <si>
    <t>Notes:</t>
  </si>
  <si>
    <t>Additional Equipment Height (in.)</t>
  </si>
  <si>
    <t xml:space="preserve">A.  The structural members are designed using the loads shown in the standard plans. The equipment loading shown in the plans is used by this </t>
  </si>
  <si>
    <t xml:space="preserve">     spreadsheet tool as a minimum equipment loading. Future equipment may be installed as long as the structure passes the appropriate checks.</t>
  </si>
  <si>
    <t>0.1793"-14.30" x 12.00" x 16'-9"</t>
  </si>
  <si>
    <t>0.1793"-12.68" x 8.96" x 26'-7"</t>
  </si>
  <si>
    <t>0.1793"-9.18" x 5.10" x 29'-5"</t>
  </si>
  <si>
    <t>0.1793"-14.30" x 11.30" x 21'-9"</t>
  </si>
  <si>
    <t>0.2391"-12.80" x 8.38" x 31'-7"</t>
  </si>
  <si>
    <t>0.2391"-13.37" x 8.48" x 34'-11"</t>
  </si>
  <si>
    <t>0.1793"-14.30" x 10.60" x 26'-9"</t>
  </si>
  <si>
    <t>0.2391"-13.61" x 9.18" x 31'-8"</t>
  </si>
  <si>
    <t>0.2391"-15.45" x 11.00" x 31'-11"</t>
  </si>
  <si>
    <t>0.2391"-13.41" x 8.98" x 31'-8"</t>
  </si>
  <si>
    <t>a. "Yes" or "No" for "Luminaire"</t>
  </si>
  <si>
    <t xml:space="preserve">b. If the structure is classified as Category III, manually input the luminaire arm span. </t>
  </si>
  <si>
    <r>
      <t xml:space="preserve">3. In the </t>
    </r>
    <r>
      <rPr>
        <b/>
        <i/>
        <sz val="10"/>
        <rFont val="Arial"/>
        <family val="2"/>
      </rPr>
      <t>Mast Arm</t>
    </r>
    <r>
      <rPr>
        <sz val="10"/>
        <rFont val="Arial"/>
        <family val="2"/>
      </rPr>
      <t xml:space="preserve"> </t>
    </r>
    <r>
      <rPr>
        <b/>
        <i/>
        <sz val="10"/>
        <rFont val="Arial"/>
        <family val="2"/>
      </rPr>
      <t>Pole Design</t>
    </r>
    <r>
      <rPr>
        <sz val="10"/>
        <rFont val="Arial"/>
        <family val="2"/>
      </rPr>
      <t xml:space="preserve"> tab, enter the following data: </t>
    </r>
  </si>
  <si>
    <t>b.  For each signal, sign, or additional equipment, enter the Distance From Pole and type of signal or dimensions of the sign or equipment.</t>
  </si>
  <si>
    <t>1W-1C</t>
  </si>
  <si>
    <t>1W-1C w/CS</t>
  </si>
  <si>
    <t>1W-2C PED</t>
  </si>
  <si>
    <t>1W-3C</t>
  </si>
  <si>
    <t>1W-4C</t>
  </si>
  <si>
    <t>1W-5C (doghouse)</t>
  </si>
  <si>
    <t>1W 12x27 Non-iLL CS</t>
  </si>
  <si>
    <t>1W 24x30 Non-iLL CS</t>
  </si>
  <si>
    <t>1W 36x36 Non-iLL CS</t>
  </si>
  <si>
    <t>1W 12x27 LED CS</t>
  </si>
  <si>
    <t>1W 24x30 LED CS</t>
  </si>
  <si>
    <t>1W 36x36 LED CS</t>
  </si>
  <si>
    <t>1W-1C w/BP</t>
  </si>
  <si>
    <t>1W-1C w/CS w/BP</t>
  </si>
  <si>
    <t>1W-2C PED w/BP</t>
  </si>
  <si>
    <t>1W-2C PED w/ CS w/BP</t>
  </si>
  <si>
    <t>1W-3C w/BP</t>
  </si>
  <si>
    <t>1W-3C w/CS</t>
  </si>
  <si>
    <t>1W-3C w/CS w/BP</t>
  </si>
  <si>
    <t>1W-4C w/BP</t>
  </si>
  <si>
    <t>1W-4C w/CS</t>
  </si>
  <si>
    <t>1W-4C w/CS w/BP</t>
  </si>
  <si>
    <t>1W-5C (doghouse) w/BP</t>
  </si>
  <si>
    <t>1W-5C (doghouse) w/CS</t>
  </si>
  <si>
    <t>1W-5C (doghouse) w/CS w/BP</t>
  </si>
  <si>
    <t>1W-2C PED w/CS</t>
  </si>
  <si>
    <t>Arm Direction</t>
  </si>
  <si>
    <t xml:space="preserve">Signal Weight (lbs) </t>
  </si>
  <si>
    <t>Total Weight*d</t>
  </si>
  <si>
    <t xml:space="preserve">Distance To Pole (ft)* </t>
  </si>
  <si>
    <t xml:space="preserve">Distance To Pole Baseplate (ft)* </t>
  </si>
  <si>
    <t>Weight*d (lbs-ft)</t>
  </si>
  <si>
    <t>Pole Category</t>
  </si>
  <si>
    <t>Pole Member</t>
  </si>
  <si>
    <t>Signal Parallel Area (sft)</t>
  </si>
  <si>
    <t>Additional Equipment Parallel Area (sft)</t>
  </si>
  <si>
    <r>
      <t>Signal A</t>
    </r>
    <r>
      <rPr>
        <vertAlign val="subscript"/>
        <sz val="10"/>
        <rFont val="Arial"/>
        <family val="2"/>
      </rPr>
      <t>ll</t>
    </r>
    <r>
      <rPr>
        <sz val="10"/>
        <rFont val="Arial"/>
        <family val="2"/>
      </rPr>
      <t>*d (sft-ft)</t>
    </r>
  </si>
  <si>
    <r>
      <t>Additional Equipment A</t>
    </r>
    <r>
      <rPr>
        <vertAlign val="subscript"/>
        <sz val="10"/>
        <rFont val="Arial"/>
        <family val="2"/>
      </rPr>
      <t>ll</t>
    </r>
    <r>
      <rPr>
        <sz val="10"/>
        <rFont val="Arial"/>
        <family val="2"/>
      </rPr>
      <t>*d (sft-ft)</t>
    </r>
  </si>
  <si>
    <t>Parallel Area (sft)</t>
  </si>
  <si>
    <r>
      <t>A</t>
    </r>
    <r>
      <rPr>
        <b/>
        <vertAlign val="subscript"/>
        <sz val="11"/>
        <color theme="1"/>
        <rFont val="Calibri"/>
        <family val="2"/>
        <scheme val="minor"/>
      </rPr>
      <t>Par</t>
    </r>
    <r>
      <rPr>
        <b/>
        <sz val="11"/>
        <color theme="1"/>
        <rFont val="Calibri"/>
        <family val="2"/>
        <scheme val="minor"/>
      </rPr>
      <t>*d (sft-ft)</t>
    </r>
  </si>
  <si>
    <t>GPS Module</t>
  </si>
  <si>
    <t>Pole Mounted Ped Signal (x2)</t>
  </si>
  <si>
    <t>Low Level 1W-3C Signal w/ Backplate</t>
  </si>
  <si>
    <t xml:space="preserve">c. For each additional piece of equipment enter the height of equipment attachment above the pole baseplate and dimensions of equipment. </t>
  </si>
  <si>
    <t>Total Parallel Area</t>
  </si>
  <si>
    <t>Par Area
(sft)</t>
  </si>
  <si>
    <t>(e.g. Mast Arm Pointing North/West/etc.)</t>
  </si>
  <si>
    <t>*Measured from center of equipment to edge of pole</t>
  </si>
  <si>
    <t>*Measured from top of baseplate to center of equipment</t>
  </si>
  <si>
    <t xml:space="preserve">1W 24x96 Street Name Sign </t>
  </si>
  <si>
    <t>Par. Area (sft)</t>
  </si>
  <si>
    <t>Pole Mounted Ped Signal</t>
  </si>
  <si>
    <t>Mast Arm Design Worksheet</t>
  </si>
  <si>
    <t>Mast Arm Design Worksheet Change Log</t>
  </si>
  <si>
    <t>Mast Arm Design Worksheet Instructions</t>
  </si>
  <si>
    <t>Equipment</t>
  </si>
  <si>
    <t>dist</t>
  </si>
  <si>
    <t>Aperp</t>
  </si>
  <si>
    <t>Abot</t>
  </si>
  <si>
    <t xml:space="preserve">Sum: </t>
  </si>
  <si>
    <t xml:space="preserve">Capacity: </t>
  </si>
  <si>
    <t>lbs*d</t>
  </si>
  <si>
    <t>Aperp*d</t>
  </si>
  <si>
    <t>Abot*d</t>
  </si>
  <si>
    <t xml:space="preserve">D/C: </t>
  </si>
  <si>
    <t>Standard Loading</t>
  </si>
  <si>
    <t>Arm Length</t>
  </si>
  <si>
    <t>TL-2 (1W-3C)</t>
  </si>
  <si>
    <t>TL-3 (1W-3C)</t>
  </si>
  <si>
    <t>Hemi Video Detector</t>
  </si>
  <si>
    <t>microwave</t>
  </si>
  <si>
    <t>Radar Detector</t>
  </si>
  <si>
    <t>Street name Sign</t>
  </si>
  <si>
    <t>TL-4 (1W-3C)</t>
  </si>
  <si>
    <t>TL-1 (1W-3C)</t>
  </si>
  <si>
    <t>Mast Arm Capacity</t>
  </si>
  <si>
    <t>Look up ID:</t>
  </si>
  <si>
    <t xml:space="preserve">Distance (ft) </t>
  </si>
  <si>
    <t>Weight (lbs)</t>
  </si>
  <si>
    <r>
      <t>A</t>
    </r>
    <r>
      <rPr>
        <vertAlign val="subscript"/>
        <sz val="10"/>
        <rFont val="Arial"/>
        <family val="2"/>
      </rPr>
      <t>bot</t>
    </r>
    <r>
      <rPr>
        <sz val="10"/>
        <rFont val="Arial"/>
        <family val="2"/>
      </rPr>
      <t xml:space="preserve"> (ft</t>
    </r>
    <r>
      <rPr>
        <vertAlign val="superscript"/>
        <sz val="10"/>
        <rFont val="Arial"/>
        <family val="2"/>
      </rPr>
      <t>2</t>
    </r>
    <r>
      <rPr>
        <sz val="10"/>
        <rFont val="Arial"/>
        <family val="2"/>
      </rPr>
      <t>)</t>
    </r>
  </si>
  <si>
    <r>
      <t>A</t>
    </r>
    <r>
      <rPr>
        <vertAlign val="subscript"/>
        <sz val="10"/>
        <rFont val="Arial"/>
        <family val="2"/>
      </rPr>
      <t>perp</t>
    </r>
    <r>
      <rPr>
        <sz val="10"/>
        <rFont val="Arial"/>
        <family val="2"/>
      </rPr>
      <t xml:space="preserve"> (ft</t>
    </r>
    <r>
      <rPr>
        <vertAlign val="superscript"/>
        <sz val="10"/>
        <rFont val="Arial"/>
        <family val="2"/>
      </rPr>
      <t>2</t>
    </r>
    <r>
      <rPr>
        <sz val="10"/>
        <rFont val="Arial"/>
        <family val="2"/>
      </rPr>
      <t>)</t>
    </r>
  </si>
  <si>
    <t>Total Weight (lbs)</t>
  </si>
  <si>
    <t>Total Weight*d (lbs-ft)</t>
  </si>
  <si>
    <r>
      <t>Total A</t>
    </r>
    <r>
      <rPr>
        <vertAlign val="subscript"/>
        <sz val="10"/>
        <rFont val="Arial"/>
        <family val="2"/>
      </rPr>
      <t>perp</t>
    </r>
    <r>
      <rPr>
        <sz val="10"/>
        <rFont val="Arial"/>
        <family val="2"/>
      </rPr>
      <t xml:space="preserve"> (ft</t>
    </r>
    <r>
      <rPr>
        <vertAlign val="superscript"/>
        <sz val="10"/>
        <rFont val="Arial"/>
        <family val="2"/>
      </rPr>
      <t>2</t>
    </r>
    <r>
      <rPr>
        <sz val="10"/>
        <rFont val="Arial"/>
        <family val="2"/>
      </rPr>
      <t>)</t>
    </r>
  </si>
  <si>
    <r>
      <t>Total A</t>
    </r>
    <r>
      <rPr>
        <vertAlign val="subscript"/>
        <sz val="10"/>
        <rFont val="Arial"/>
        <family val="2"/>
      </rPr>
      <t>perp</t>
    </r>
    <r>
      <rPr>
        <sz val="10"/>
        <rFont val="Arial"/>
        <family val="2"/>
      </rPr>
      <t>*d (ft</t>
    </r>
    <r>
      <rPr>
        <vertAlign val="superscript"/>
        <sz val="10"/>
        <rFont val="Arial"/>
        <family val="2"/>
      </rPr>
      <t>2</t>
    </r>
    <r>
      <rPr>
        <sz val="10"/>
        <rFont val="Arial"/>
        <family val="2"/>
      </rPr>
      <t>-ft)</t>
    </r>
  </si>
  <si>
    <r>
      <t>Total A</t>
    </r>
    <r>
      <rPr>
        <vertAlign val="subscript"/>
        <sz val="10"/>
        <rFont val="Arial"/>
        <family val="2"/>
      </rPr>
      <t>bot</t>
    </r>
    <r>
      <rPr>
        <sz val="10"/>
        <rFont val="Arial"/>
        <family val="2"/>
      </rPr>
      <t xml:space="preserve"> (ft</t>
    </r>
    <r>
      <rPr>
        <vertAlign val="superscript"/>
        <sz val="10"/>
        <rFont val="Arial"/>
        <family val="2"/>
      </rPr>
      <t>2</t>
    </r>
    <r>
      <rPr>
        <sz val="10"/>
        <rFont val="Arial"/>
        <family val="2"/>
      </rPr>
      <t>)</t>
    </r>
  </si>
  <si>
    <r>
      <t>Total A</t>
    </r>
    <r>
      <rPr>
        <vertAlign val="subscript"/>
        <sz val="10"/>
        <rFont val="Arial"/>
        <family val="2"/>
      </rPr>
      <t>bot</t>
    </r>
    <r>
      <rPr>
        <sz val="10"/>
        <rFont val="Arial"/>
        <family val="2"/>
      </rPr>
      <t>*d (ft</t>
    </r>
    <r>
      <rPr>
        <vertAlign val="superscript"/>
        <sz val="10"/>
        <rFont val="Arial"/>
        <family val="2"/>
      </rPr>
      <t>2</t>
    </r>
    <r>
      <rPr>
        <sz val="10"/>
        <rFont val="Arial"/>
        <family val="2"/>
      </rPr>
      <t>-ft)</t>
    </r>
  </si>
  <si>
    <t xml:space="preserve">Height (ft) </t>
  </si>
  <si>
    <r>
      <t>A</t>
    </r>
    <r>
      <rPr>
        <vertAlign val="subscript"/>
        <sz val="10"/>
        <rFont val="Arial"/>
        <family val="2"/>
      </rPr>
      <t>par</t>
    </r>
    <r>
      <rPr>
        <sz val="10"/>
        <rFont val="Arial"/>
        <family val="2"/>
      </rPr>
      <t xml:space="preserve"> (ft</t>
    </r>
    <r>
      <rPr>
        <vertAlign val="superscript"/>
        <sz val="10"/>
        <rFont val="Arial"/>
        <family val="2"/>
      </rPr>
      <t>2</t>
    </r>
    <r>
      <rPr>
        <sz val="10"/>
        <rFont val="Arial"/>
        <family val="2"/>
      </rPr>
      <t>)</t>
    </r>
  </si>
  <si>
    <t>Equipment Type</t>
  </si>
  <si>
    <r>
      <t>A</t>
    </r>
    <r>
      <rPr>
        <vertAlign val="subscript"/>
        <sz val="11"/>
        <color theme="1"/>
        <rFont val="Calibri"/>
        <family val="2"/>
        <scheme val="minor"/>
      </rPr>
      <t>perp</t>
    </r>
    <r>
      <rPr>
        <sz val="10"/>
        <rFont val="Arial"/>
        <family val="2"/>
      </rPr>
      <t xml:space="preserve"> (ft</t>
    </r>
    <r>
      <rPr>
        <vertAlign val="superscript"/>
        <sz val="11"/>
        <color theme="1"/>
        <rFont val="Calibri"/>
        <family val="2"/>
        <scheme val="minor"/>
      </rPr>
      <t>2</t>
    </r>
    <r>
      <rPr>
        <sz val="10"/>
        <rFont val="Arial"/>
        <family val="2"/>
      </rPr>
      <t>)</t>
    </r>
  </si>
  <si>
    <r>
      <t>A</t>
    </r>
    <r>
      <rPr>
        <vertAlign val="subscript"/>
        <sz val="11"/>
        <color theme="1"/>
        <rFont val="Calibri"/>
        <family val="2"/>
        <scheme val="minor"/>
      </rPr>
      <t>perp</t>
    </r>
    <r>
      <rPr>
        <sz val="10"/>
        <rFont val="Arial"/>
        <family val="2"/>
      </rPr>
      <t>*d (ft</t>
    </r>
    <r>
      <rPr>
        <vertAlign val="superscript"/>
        <sz val="11"/>
        <color theme="1"/>
        <rFont val="Calibri"/>
        <family val="2"/>
        <scheme val="minor"/>
      </rPr>
      <t>2</t>
    </r>
    <r>
      <rPr>
        <sz val="10"/>
        <rFont val="Arial"/>
        <family val="2"/>
      </rPr>
      <t>-ft)</t>
    </r>
  </si>
  <si>
    <r>
      <t>A</t>
    </r>
    <r>
      <rPr>
        <vertAlign val="subscript"/>
        <sz val="11"/>
        <color theme="1"/>
        <rFont val="Calibri"/>
        <family val="2"/>
        <scheme val="minor"/>
      </rPr>
      <t>par</t>
    </r>
    <r>
      <rPr>
        <sz val="10"/>
        <rFont val="Arial"/>
        <family val="2"/>
      </rPr>
      <t xml:space="preserve"> (ft</t>
    </r>
    <r>
      <rPr>
        <vertAlign val="superscript"/>
        <sz val="11"/>
        <color theme="1"/>
        <rFont val="Calibri"/>
        <family val="2"/>
        <scheme val="minor"/>
      </rPr>
      <t>2</t>
    </r>
    <r>
      <rPr>
        <sz val="10"/>
        <rFont val="Arial"/>
        <family val="2"/>
      </rPr>
      <t>)</t>
    </r>
  </si>
  <si>
    <r>
      <t>A</t>
    </r>
    <r>
      <rPr>
        <vertAlign val="subscript"/>
        <sz val="11"/>
        <color theme="1"/>
        <rFont val="Calibri"/>
        <family val="2"/>
        <scheme val="minor"/>
      </rPr>
      <t>par</t>
    </r>
    <r>
      <rPr>
        <sz val="10"/>
        <rFont val="Arial"/>
        <family val="2"/>
      </rPr>
      <t>*d (ft</t>
    </r>
    <r>
      <rPr>
        <vertAlign val="superscript"/>
        <sz val="11"/>
        <color theme="1"/>
        <rFont val="Calibri"/>
        <family val="2"/>
        <scheme val="minor"/>
      </rPr>
      <t>2</t>
    </r>
    <r>
      <rPr>
        <sz val="10"/>
        <rFont val="Arial"/>
        <family val="2"/>
      </rPr>
      <t>-ft)</t>
    </r>
  </si>
  <si>
    <t>Pole Mounted Pedestrian Signal</t>
  </si>
  <si>
    <t>Height (ft)</t>
  </si>
  <si>
    <t>Pole Capacity</t>
  </si>
  <si>
    <t>Yes</t>
  </si>
  <si>
    <t>No</t>
  </si>
  <si>
    <t>D/C</t>
  </si>
  <si>
    <r>
      <t>Total A</t>
    </r>
    <r>
      <rPr>
        <b/>
        <vertAlign val="subscript"/>
        <sz val="10"/>
        <rFont val="Arial"/>
        <family val="2"/>
      </rPr>
      <t>Par</t>
    </r>
    <r>
      <rPr>
        <b/>
        <sz val="10"/>
        <rFont val="Arial"/>
        <family val="2"/>
      </rPr>
      <t>*d</t>
    </r>
  </si>
  <si>
    <t>PASS</t>
  </si>
  <si>
    <t>Smallest Passing Weight:</t>
  </si>
  <si>
    <t>Smallest Passing Weight*d:</t>
  </si>
  <si>
    <t>Smallest Passing Aperp:</t>
  </si>
  <si>
    <t>Smallest Passing Aperp*d:</t>
  </si>
  <si>
    <t>Smallest Passing Abot:</t>
  </si>
  <si>
    <t>Smallest Passing Abot*d:</t>
  </si>
  <si>
    <t>Smallest Passing All:</t>
  </si>
  <si>
    <t xml:space="preserve">Note: </t>
  </si>
  <si>
    <t xml:space="preserve">Max demand over capacity must be less than or equal to 1.0 to be considered "passing". </t>
  </si>
  <si>
    <t>Summary of Arm Sizes Passing Weight Check:</t>
  </si>
  <si>
    <t>Summary of Arm Sizes Passing Weight*d Check:</t>
  </si>
  <si>
    <t>Summary of Arm Sizes Passing Aperp Check:</t>
  </si>
  <si>
    <t>Summary of Arm Sizes Passing Aperp*d Check:</t>
  </si>
  <si>
    <t>Summary of Arm Sizes Passing Abot Check:</t>
  </si>
  <si>
    <t>Summary of Arm Sizes Passing Abot*d Check:</t>
  </si>
  <si>
    <t>All Arm Size Capacities</t>
  </si>
  <si>
    <t>Arm Length (ft)</t>
  </si>
  <si>
    <t>Max Demand/Capacity</t>
  </si>
  <si>
    <t>None</t>
  </si>
  <si>
    <t>With Sign</t>
  </si>
  <si>
    <t>Weight</t>
  </si>
  <si>
    <t>Weight*d</t>
  </si>
  <si>
    <t>Without Sign</t>
  </si>
  <si>
    <r>
      <t xml:space="preserve">Beta, </t>
    </r>
    <r>
      <rPr>
        <sz val="10"/>
        <rFont val="Calibri"/>
        <family val="2"/>
      </rPr>
      <t>β</t>
    </r>
  </si>
  <si>
    <r>
      <t xml:space="preserve">Min Beta, </t>
    </r>
    <r>
      <rPr>
        <sz val="10"/>
        <rFont val="Calibri"/>
        <family val="2"/>
      </rPr>
      <t>β</t>
    </r>
  </si>
  <si>
    <r>
      <t xml:space="preserve">Alpha, </t>
    </r>
    <r>
      <rPr>
        <sz val="10"/>
        <rFont val="Calibri"/>
        <family val="2"/>
      </rPr>
      <t>α</t>
    </r>
  </si>
  <si>
    <r>
      <t xml:space="preserve">Min Alpha, </t>
    </r>
    <r>
      <rPr>
        <sz val="10"/>
        <rFont val="Calibri"/>
        <family val="2"/>
      </rPr>
      <t>α</t>
    </r>
  </si>
  <si>
    <t xml:space="preserve">Original Pole Capacity: </t>
  </si>
  <si>
    <t xml:space="preserve">Additional Capacity: </t>
  </si>
  <si>
    <t xml:space="preserve">Total Capacity: </t>
  </si>
  <si>
    <t>0.500"-15.50" x 10.94" x 29'-0"</t>
  </si>
  <si>
    <t>0.500"-15.50" x 11.78" x 23'-0"</t>
  </si>
  <si>
    <t>v1.1</t>
  </si>
  <si>
    <t>2023-February 27</t>
  </si>
  <si>
    <t>Expanded the calculations to check multiple locations.  Moved calculations off the printed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</si>
</sst>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3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10"/>
      <name val="Arial"/>
      <family val="2"/>
    </font>
    <font>
      <sz val="10"/>
      <color indexed="8"/>
      <name val="Arial"/>
      <family val="2"/>
    </font>
    <font>
      <sz val="8"/>
      <name val="Arial"/>
      <family val="2"/>
    </font>
    <font>
      <b/>
      <i/>
      <sz val="10"/>
      <name val="Arial"/>
      <family val="2"/>
    </font>
    <font>
      <b/>
      <i/>
      <sz val="10"/>
      <color indexed="8"/>
      <name val="Arial"/>
      <family val="2"/>
    </font>
    <font>
      <b/>
      <sz val="11"/>
      <color theme="1"/>
      <name val="Calibri"/>
      <family val="2"/>
      <scheme val="minor"/>
    </font>
    <font>
      <i/>
      <sz val="9"/>
      <color rgb="FFFF0000"/>
      <name val="Arial"/>
      <family val="2"/>
    </font>
    <font>
      <i/>
      <sz val="10"/>
      <color rgb="FFFF0000"/>
      <name val="Arial"/>
      <family val="2"/>
    </font>
    <font>
      <b/>
      <i/>
      <sz val="10"/>
      <color rgb="FFFF0000"/>
      <name val="Arial"/>
      <family val="2"/>
    </font>
    <font>
      <sz val="10"/>
      <color theme="1"/>
      <name val="Arial"/>
      <family val="2"/>
    </font>
    <font>
      <b/>
      <sz val="10"/>
      <color theme="1"/>
      <name val="Arial"/>
      <family val="2"/>
    </font>
    <font>
      <sz val="10"/>
      <name val="Arial"/>
      <family val="2"/>
    </font>
    <font>
      <b/>
      <u/>
      <sz val="12"/>
      <name val="Arial"/>
      <family val="2"/>
    </font>
    <font>
      <sz val="12"/>
      <name val="Calibri"/>
      <family val="2"/>
    </font>
    <font>
      <b/>
      <u/>
      <sz val="10"/>
      <name val="Arial"/>
      <family val="2"/>
    </font>
    <font>
      <vertAlign val="subscript"/>
      <sz val="10"/>
      <name val="Arial"/>
      <family val="2"/>
    </font>
    <font>
      <b/>
      <vertAlign val="subscript"/>
      <sz val="11"/>
      <color theme="1"/>
      <name val="Calibri"/>
      <family val="2"/>
      <scheme val="minor"/>
    </font>
    <font>
      <b/>
      <vertAlign val="subscript"/>
      <sz val="10"/>
      <name val="Arial"/>
      <family val="2"/>
    </font>
    <font>
      <b/>
      <i/>
      <sz val="10"/>
      <color theme="1"/>
      <name val="Arial"/>
      <family val="2"/>
    </font>
    <font>
      <sz val="11"/>
      <color rgb="FF006100"/>
      <name val="Calibri"/>
      <family val="2"/>
      <scheme val="minor"/>
    </font>
    <font>
      <sz val="11"/>
      <name val="Calibri"/>
      <family val="2"/>
      <scheme val="minor"/>
    </font>
    <font>
      <b/>
      <sz val="11"/>
      <color rgb="FFFA7D00"/>
      <name val="Calibri"/>
      <family val="2"/>
      <scheme val="minor"/>
    </font>
    <font>
      <vertAlign val="superscript"/>
      <sz val="10"/>
      <name val="Arial"/>
      <family val="2"/>
    </font>
    <font>
      <vertAlign val="subscript"/>
      <sz val="11"/>
      <color theme="1"/>
      <name val="Calibri"/>
      <family val="2"/>
      <scheme val="minor"/>
    </font>
    <font>
      <vertAlign val="superscript"/>
      <sz val="11"/>
      <color theme="1"/>
      <name val="Calibri"/>
      <family val="2"/>
      <scheme val="minor"/>
    </font>
    <font>
      <sz val="12"/>
      <name val="Arial"/>
      <family val="2"/>
    </font>
    <font>
      <sz val="10"/>
      <name val="Calibri"/>
      <family val="2"/>
    </font>
  </fonts>
  <fills count="19">
    <fill>
      <patternFill patternType="none"/>
    </fill>
    <fill>
      <patternFill patternType="gray125"/>
    </fill>
    <fill>
      <patternFill patternType="solid">
        <fgColor indexed="13"/>
        <bgColor indexed="34"/>
      </patternFill>
    </fill>
    <fill>
      <patternFill patternType="solid">
        <fgColor indexed="49"/>
        <bgColor indexed="40"/>
      </patternFill>
    </fill>
    <fill>
      <patternFill patternType="solid">
        <fgColor rgb="FFFFFF00"/>
        <bgColor indexed="64"/>
      </patternFill>
    </fill>
    <fill>
      <patternFill patternType="solid">
        <fgColor theme="0" tint="-0.14999847407452621"/>
        <bgColor indexed="64"/>
      </patternFill>
    </fill>
    <fill>
      <patternFill patternType="solid">
        <fgColor rgb="FF33CCCC"/>
        <bgColor indexed="34"/>
      </patternFill>
    </fill>
    <fill>
      <patternFill patternType="solid">
        <fgColor rgb="FF33CCCC"/>
        <bgColor indexed="64"/>
      </patternFill>
    </fill>
    <fill>
      <patternFill patternType="solid">
        <fgColor rgb="FF33CCCC"/>
        <bgColor indexed="40"/>
      </patternFill>
    </fill>
    <fill>
      <patternFill patternType="solid">
        <fgColor rgb="FF00B050"/>
        <bgColor indexed="64"/>
      </patternFill>
    </fill>
    <fill>
      <patternFill patternType="solid">
        <fgColor rgb="FF29CCCC"/>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C6EFCE"/>
      </patternFill>
    </fill>
    <fill>
      <patternFill patternType="solid">
        <fgColor rgb="FFF2F2F2"/>
      </patternFill>
    </fill>
    <fill>
      <patternFill patternType="solid">
        <fgColor theme="6" tint="0.39997558519241921"/>
        <bgColor indexed="64"/>
      </patternFill>
    </fill>
    <fill>
      <patternFill patternType="solid">
        <fgColor rgb="FFFFC000"/>
        <bgColor indexed="60"/>
      </patternFill>
    </fill>
    <fill>
      <patternFill patternType="solid">
        <fgColor rgb="FFFFC0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16" fillId="10" borderId="0">
      <protection locked="0"/>
    </xf>
    <xf numFmtId="0" fontId="16" fillId="0" borderId="0"/>
    <xf numFmtId="0" fontId="24" fillId="14" borderId="0" applyNumberFormat="0" applyBorder="0" applyAlignment="0" applyProtection="0"/>
    <xf numFmtId="165" fontId="26" fillId="15" borderId="25" applyProtection="0">
      <alignment horizontal="center"/>
    </xf>
    <xf numFmtId="165" fontId="3" fillId="16" borderId="25" applyProtection="0">
      <alignment horizontal="center"/>
    </xf>
    <xf numFmtId="0" fontId="2" fillId="0" borderId="0"/>
    <xf numFmtId="0" fontId="1" fillId="0" borderId="0"/>
  </cellStyleXfs>
  <cellXfs count="316">
    <xf numFmtId="0" fontId="0" fillId="0" borderId="0" xfId="0"/>
    <xf numFmtId="2" fontId="0" fillId="0" borderId="0" xfId="0" applyNumberFormat="1"/>
    <xf numFmtId="0" fontId="0" fillId="0" borderId="0" xfId="0" applyAlignment="1">
      <alignment horizontal="center"/>
    </xf>
    <xf numFmtId="0" fontId="4" fillId="0" borderId="0" xfId="0" applyFont="1"/>
    <xf numFmtId="14" fontId="0" fillId="0" borderId="0" xfId="0" applyNumberFormat="1" applyAlignment="1">
      <alignment horizontal="center"/>
    </xf>
    <xf numFmtId="0" fontId="5" fillId="0" borderId="0" xfId="0" applyFont="1" applyAlignment="1">
      <alignment horizontal="right"/>
    </xf>
    <xf numFmtId="0" fontId="5" fillId="0" borderId="0" xfId="0" applyFont="1"/>
    <xf numFmtId="0" fontId="0" fillId="2" borderId="0" xfId="0" applyFill="1" applyAlignment="1" applyProtection="1">
      <alignment horizontal="right"/>
      <protection locked="0"/>
    </xf>
    <xf numFmtId="0" fontId="5" fillId="0" borderId="0" xfId="0" applyFont="1" applyAlignment="1">
      <alignment horizontal="left"/>
    </xf>
    <xf numFmtId="0" fontId="0" fillId="0" borderId="0" xfId="0" applyAlignment="1">
      <alignment horizontal="center" wrapText="1"/>
    </xf>
    <xf numFmtId="0" fontId="0" fillId="3" borderId="0" xfId="0" applyFill="1"/>
    <xf numFmtId="165" fontId="0" fillId="0" borderId="0" xfId="0" applyNumberFormat="1"/>
    <xf numFmtId="166" fontId="0" fillId="0" borderId="0" xfId="0" applyNumberFormat="1"/>
    <xf numFmtId="0" fontId="5" fillId="0" borderId="0" xfId="0" applyFont="1" applyAlignment="1">
      <alignment horizontal="center" vertical="center"/>
    </xf>
    <xf numFmtId="0" fontId="0" fillId="0" borderId="0" xfId="0" applyAlignment="1">
      <alignment wrapText="1"/>
    </xf>
    <xf numFmtId="0" fontId="0" fillId="0" borderId="0" xfId="0" applyAlignment="1" applyProtection="1">
      <alignment horizontal="right"/>
      <protection locked="0"/>
    </xf>
    <xf numFmtId="0" fontId="4" fillId="2" borderId="0" xfId="0" applyFont="1" applyFill="1" applyAlignment="1">
      <alignment vertical="center"/>
    </xf>
    <xf numFmtId="0" fontId="0" fillId="0" borderId="0" xfId="0" applyProtection="1">
      <protection locked="0"/>
    </xf>
    <xf numFmtId="1" fontId="0" fillId="3" borderId="0" xfId="0" applyNumberFormat="1" applyFill="1"/>
    <xf numFmtId="165" fontId="0" fillId="0" borderId="0" xfId="0" applyNumberFormat="1" applyAlignment="1">
      <alignment horizontal="center"/>
    </xf>
    <xf numFmtId="0" fontId="4" fillId="0" borderId="0" xfId="0" applyFont="1" applyAlignment="1">
      <alignment horizontal="center"/>
    </xf>
    <xf numFmtId="1" fontId="0" fillId="0" borderId="0" xfId="0" applyNumberFormat="1"/>
    <xf numFmtId="0" fontId="0" fillId="0" borderId="0" xfId="0" quotePrefix="1" applyAlignment="1">
      <alignment horizontal="left"/>
    </xf>
    <xf numFmtId="0" fontId="10" fillId="5" borderId="0" xfId="0" applyFont="1" applyFill="1" applyAlignment="1">
      <alignment horizontal="center"/>
    </xf>
    <xf numFmtId="2" fontId="0" fillId="0" borderId="0" xfId="0" applyNumberFormat="1" applyAlignment="1">
      <alignment horizontal="right" vertical="center"/>
    </xf>
    <xf numFmtId="2" fontId="0" fillId="0" borderId="0" xfId="0" applyNumberFormat="1" applyAlignment="1">
      <alignment vertical="center"/>
    </xf>
    <xf numFmtId="0" fontId="0" fillId="0" borderId="0" xfId="0" applyAlignment="1">
      <alignment vertical="center"/>
    </xf>
    <xf numFmtId="0" fontId="0" fillId="0" borderId="0" xfId="0" applyAlignment="1">
      <alignment horizontal="left"/>
    </xf>
    <xf numFmtId="164" fontId="0" fillId="0" borderId="0" xfId="0" applyNumberFormat="1" applyAlignment="1">
      <alignment horizontal="center"/>
    </xf>
    <xf numFmtId="0" fontId="0" fillId="6" borderId="0" xfId="0" applyFill="1" applyAlignment="1" applyProtection="1">
      <alignment horizontal="right"/>
      <protection locked="0"/>
    </xf>
    <xf numFmtId="0" fontId="0" fillId="0" borderId="1" xfId="0" applyBorder="1"/>
    <xf numFmtId="0" fontId="0" fillId="0" borderId="1" xfId="0" applyBorder="1" applyAlignment="1">
      <alignment horizontal="center"/>
    </xf>
    <xf numFmtId="0" fontId="0" fillId="0" borderId="1" xfId="0" quotePrefix="1" applyBorder="1" applyAlignment="1">
      <alignment horizontal="left"/>
    </xf>
    <xf numFmtId="165" fontId="0" fillId="0" borderId="1" xfId="0" applyNumberFormat="1" applyBorder="1" applyAlignment="1">
      <alignment horizontal="center"/>
    </xf>
    <xf numFmtId="0" fontId="0" fillId="0" borderId="1" xfId="0" quotePrefix="1" applyBorder="1" applyAlignment="1">
      <alignment horizontal="center"/>
    </xf>
    <xf numFmtId="0" fontId="0" fillId="0" borderId="1" xfId="0" applyBorder="1" applyAlignment="1">
      <alignment horizontal="left"/>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10" fillId="5" borderId="1" xfId="0" applyFont="1" applyFill="1" applyBorder="1" applyAlignment="1">
      <alignment horizontal="center"/>
    </xf>
    <xf numFmtId="1" fontId="0" fillId="3" borderId="0" xfId="0" applyNumberFormat="1" applyFill="1" applyAlignment="1">
      <alignment horizontal="right"/>
    </xf>
    <xf numFmtId="1" fontId="0" fillId="3" borderId="0" xfId="0" applyNumberFormat="1" applyFill="1" applyAlignment="1">
      <alignment horizontal="center"/>
    </xf>
    <xf numFmtId="0" fontId="0" fillId="2" borderId="0" xfId="0" applyFill="1" applyAlignment="1" applyProtection="1">
      <alignment horizontal="center"/>
      <protection locked="0"/>
    </xf>
    <xf numFmtId="0" fontId="0" fillId="7" borderId="7" xfId="0" applyFill="1" applyBorder="1" applyAlignment="1">
      <alignment horizontal="center"/>
    </xf>
    <xf numFmtId="0" fontId="0" fillId="7" borderId="9" xfId="0" applyFill="1" applyBorder="1" applyAlignment="1">
      <alignment horizontal="center"/>
    </xf>
    <xf numFmtId="1" fontId="0" fillId="7" borderId="7" xfId="0" applyNumberFormat="1" applyFill="1" applyBorder="1" applyAlignment="1">
      <alignment horizontal="center"/>
    </xf>
    <xf numFmtId="1" fontId="0" fillId="7" borderId="8" xfId="0" applyNumberFormat="1" applyFill="1" applyBorder="1" applyAlignment="1">
      <alignment horizontal="center"/>
    </xf>
    <xf numFmtId="1" fontId="0" fillId="7" borderId="9" xfId="0" applyNumberFormat="1" applyFill="1" applyBorder="1" applyAlignment="1">
      <alignment horizontal="center"/>
    </xf>
    <xf numFmtId="1" fontId="0" fillId="7" borderId="10" xfId="0" applyNumberFormat="1" applyFill="1" applyBorder="1" applyAlignment="1">
      <alignment horizontal="center"/>
    </xf>
    <xf numFmtId="1" fontId="5" fillId="3" borderId="3" xfId="0" applyNumberFormat="1" applyFont="1" applyFill="1" applyBorder="1" applyAlignment="1">
      <alignment horizontal="center"/>
    </xf>
    <xf numFmtId="0" fontId="0" fillId="2" borderId="0" xfId="0" applyFill="1" applyAlignment="1" applyProtection="1">
      <alignment horizontal="left"/>
      <protection locked="0"/>
    </xf>
    <xf numFmtId="0" fontId="5" fillId="0" borderId="0" xfId="0" applyFont="1" applyAlignment="1">
      <alignment horizontal="center"/>
    </xf>
    <xf numFmtId="0" fontId="0" fillId="7" borderId="0" xfId="0" applyFill="1" applyAlignment="1">
      <alignment horizontal="right"/>
    </xf>
    <xf numFmtId="14" fontId="0" fillId="0" borderId="0" xfId="0" applyNumberFormat="1" applyAlignment="1">
      <alignment horizontal="left"/>
    </xf>
    <xf numFmtId="0" fontId="18" fillId="0" borderId="0" xfId="0" applyFont="1" applyAlignment="1">
      <alignment vertical="top" wrapText="1"/>
    </xf>
    <xf numFmtId="0" fontId="0" fillId="0" borderId="0" xfId="0" quotePrefix="1" applyAlignment="1">
      <alignment horizontal="right" wrapText="1"/>
    </xf>
    <xf numFmtId="0" fontId="0" fillId="0" borderId="0" xfId="0" applyAlignment="1">
      <alignment vertical="top" wrapText="1"/>
    </xf>
    <xf numFmtId="0" fontId="0" fillId="0" borderId="0" xfId="0" applyAlignment="1">
      <alignment vertical="top"/>
    </xf>
    <xf numFmtId="1" fontId="0" fillId="7" borderId="6" xfId="0" applyNumberFormat="1" applyFill="1" applyBorder="1" applyAlignment="1">
      <alignment horizontal="center"/>
    </xf>
    <xf numFmtId="1" fontId="0" fillId="7" borderId="11" xfId="0" applyNumberFormat="1" applyFill="1" applyBorder="1" applyAlignment="1">
      <alignment horizontal="center"/>
    </xf>
    <xf numFmtId="0" fontId="0" fillId="7" borderId="12" xfId="0" applyFill="1" applyBorder="1" applyAlignment="1">
      <alignment horizontal="center"/>
    </xf>
    <xf numFmtId="0" fontId="0" fillId="7" borderId="0" xfId="0" applyFill="1" applyAlignment="1">
      <alignment horizontal="center"/>
    </xf>
    <xf numFmtId="1" fontId="0" fillId="7" borderId="0" xfId="0" applyNumberFormat="1" applyFill="1" applyAlignment="1">
      <alignment horizontal="center"/>
    </xf>
    <xf numFmtId="1" fontId="0" fillId="7" borderId="12" xfId="0" applyNumberFormat="1" applyFill="1" applyBorder="1" applyAlignment="1">
      <alignment horizontal="center"/>
    </xf>
    <xf numFmtId="0" fontId="0" fillId="7" borderId="2" xfId="0" applyFill="1" applyBorder="1" applyAlignment="1">
      <alignment horizontal="center"/>
    </xf>
    <xf numFmtId="1" fontId="0" fillId="7" borderId="2" xfId="0" applyNumberFormat="1" applyFill="1" applyBorder="1" applyAlignment="1">
      <alignment horizontal="center"/>
    </xf>
    <xf numFmtId="1" fontId="5" fillId="3" borderId="6" xfId="0" applyNumberFormat="1" applyFont="1" applyFill="1" applyBorder="1" applyAlignment="1">
      <alignment horizontal="center"/>
    </xf>
    <xf numFmtId="0" fontId="0" fillId="7" borderId="6" xfId="0" applyFill="1" applyBorder="1" applyAlignment="1">
      <alignment horizontal="center"/>
    </xf>
    <xf numFmtId="0" fontId="10" fillId="12" borderId="17" xfId="0" applyFont="1" applyFill="1" applyBorder="1" applyAlignment="1">
      <alignment horizontal="center"/>
    </xf>
    <xf numFmtId="0" fontId="10" fillId="12" borderId="18" xfId="0" applyFont="1" applyFill="1" applyBorder="1" applyAlignment="1">
      <alignment horizontal="center"/>
    </xf>
    <xf numFmtId="0" fontId="10" fillId="12" borderId="19" xfId="0" applyFont="1" applyFill="1" applyBorder="1" applyAlignment="1">
      <alignment horizontal="center"/>
    </xf>
    <xf numFmtId="0" fontId="0" fillId="12" borderId="20" xfId="0" applyFill="1" applyBorder="1"/>
    <xf numFmtId="0" fontId="0" fillId="13" borderId="13" xfId="0" applyFill="1" applyBorder="1" applyAlignment="1" applyProtection="1">
      <alignment horizontal="center"/>
      <protection locked="0"/>
    </xf>
    <xf numFmtId="14" fontId="0" fillId="13" borderId="21" xfId="0" applyNumberFormat="1" applyFill="1" applyBorder="1" applyAlignment="1" applyProtection="1">
      <alignment horizontal="center"/>
      <protection locked="0"/>
    </xf>
    <xf numFmtId="0" fontId="0" fillId="12" borderId="22" xfId="0" applyFill="1" applyBorder="1"/>
    <xf numFmtId="0" fontId="0" fillId="13" borderId="23" xfId="0" applyFill="1" applyBorder="1" applyAlignment="1" applyProtection="1">
      <alignment horizontal="center"/>
      <protection locked="0"/>
    </xf>
    <xf numFmtId="14" fontId="0" fillId="13" borderId="24" xfId="0" applyNumberFormat="1" applyFill="1" applyBorder="1" applyAlignment="1" applyProtection="1">
      <alignment horizontal="center"/>
      <protection locked="0"/>
    </xf>
    <xf numFmtId="166" fontId="0" fillId="0" borderId="1" xfId="0" applyNumberFormat="1" applyBorder="1" applyAlignment="1">
      <alignment horizontal="center" vertical="center"/>
    </xf>
    <xf numFmtId="0" fontId="4" fillId="0" borderId="0" xfId="2" applyFont="1"/>
    <xf numFmtId="0" fontId="16" fillId="0" borderId="0" xfId="2"/>
    <xf numFmtId="14" fontId="16" fillId="0" borderId="0" xfId="2" applyNumberFormat="1" applyAlignment="1">
      <alignment horizontal="left"/>
    </xf>
    <xf numFmtId="0" fontId="16" fillId="0" borderId="0" xfId="2" applyAlignment="1">
      <alignment horizontal="right" vertical="center"/>
    </xf>
    <xf numFmtId="0" fontId="16" fillId="0" borderId="0" xfId="2" applyAlignment="1">
      <alignment horizontal="left"/>
    </xf>
    <xf numFmtId="0" fontId="16" fillId="0" borderId="0" xfId="2" applyAlignment="1">
      <alignment horizontal="right"/>
    </xf>
    <xf numFmtId="0" fontId="16" fillId="0" borderId="0" xfId="2" applyAlignment="1">
      <alignment horizontal="left" vertical="center"/>
    </xf>
    <xf numFmtId="0" fontId="16" fillId="0" borderId="0" xfId="2" applyAlignment="1">
      <alignment vertical="top"/>
    </xf>
    <xf numFmtId="0" fontId="16" fillId="0" borderId="0" xfId="2" applyAlignment="1">
      <alignment vertical="center"/>
    </xf>
    <xf numFmtId="0" fontId="16" fillId="0" borderId="0" xfId="2"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49" fontId="11" fillId="0" borderId="0" xfId="0" applyNumberFormat="1" applyFont="1" applyAlignment="1">
      <alignment horizontal="left" vertical="center"/>
    </xf>
    <xf numFmtId="49" fontId="12" fillId="0" borderId="0" xfId="0" applyNumberFormat="1" applyFont="1" applyAlignment="1">
      <alignment horizontal="left" vertical="center"/>
    </xf>
    <xf numFmtId="49" fontId="13" fillId="0" borderId="0" xfId="0" applyNumberFormat="1" applyFont="1" applyAlignment="1">
      <alignment horizontal="left" vertical="center"/>
    </xf>
    <xf numFmtId="49" fontId="15" fillId="0" borderId="0" xfId="0" applyNumberFormat="1" applyFont="1" applyAlignment="1">
      <alignment horizontal="left" vertical="center"/>
    </xf>
    <xf numFmtId="49" fontId="0" fillId="0" borderId="0" xfId="0" applyNumberFormat="1" applyAlignment="1">
      <alignment horizontal="left" vertical="center"/>
    </xf>
    <xf numFmtId="49" fontId="14" fillId="0" borderId="0" xfId="0" applyNumberFormat="1" applyFont="1" applyAlignment="1">
      <alignment horizontal="left" vertical="center"/>
    </xf>
    <xf numFmtId="166" fontId="0" fillId="2" borderId="0" xfId="0" applyNumberFormat="1" applyFill="1" applyAlignment="1" applyProtection="1">
      <alignment horizontal="center"/>
      <protection locked="0"/>
    </xf>
    <xf numFmtId="49" fontId="14" fillId="0" borderId="0" xfId="0" quotePrefix="1" applyNumberFormat="1" applyFont="1" applyAlignment="1">
      <alignment horizontal="left" vertical="center"/>
    </xf>
    <xf numFmtId="2" fontId="0" fillId="0" borderId="1" xfId="0" applyNumberFormat="1" applyBorder="1" applyAlignment="1">
      <alignment horizontal="center"/>
    </xf>
    <xf numFmtId="1" fontId="0" fillId="0" borderId="1" xfId="0" applyNumberFormat="1" applyBorder="1" applyAlignment="1">
      <alignment horizontal="center"/>
    </xf>
    <xf numFmtId="0" fontId="0" fillId="3" borderId="0" xfId="0" applyFill="1" applyAlignment="1">
      <alignment horizontal="center"/>
    </xf>
    <xf numFmtId="2"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5" fillId="0" borderId="1" xfId="0" applyFont="1" applyBorder="1" applyAlignment="1">
      <alignment horizontal="center" vertical="center"/>
    </xf>
    <xf numFmtId="166" fontId="5" fillId="0" borderId="1" xfId="0" applyNumberFormat="1" applyFont="1" applyBorder="1" applyAlignment="1">
      <alignment horizontal="center" vertical="center"/>
    </xf>
    <xf numFmtId="0" fontId="5" fillId="0" borderId="1" xfId="0" applyFont="1" applyBorder="1"/>
    <xf numFmtId="166" fontId="0" fillId="0" borderId="1" xfId="0" applyNumberFormat="1" applyBorder="1"/>
    <xf numFmtId="166" fontId="0" fillId="0" borderId="1" xfId="0" applyNumberFormat="1" applyBorder="1" applyAlignment="1">
      <alignment horizontal="center"/>
    </xf>
    <xf numFmtId="0" fontId="25" fillId="0" borderId="1" xfId="3" applyFont="1" applyFill="1" applyBorder="1"/>
    <xf numFmtId="0" fontId="0" fillId="0" borderId="0" xfId="0" applyAlignment="1">
      <alignment horizontal="right"/>
    </xf>
    <xf numFmtId="0" fontId="2" fillId="0" borderId="0" xfId="6"/>
    <xf numFmtId="0" fontId="2" fillId="0" borderId="22" xfId="6" applyBorder="1" applyAlignment="1">
      <alignment horizontal="center"/>
    </xf>
    <xf numFmtId="0" fontId="2" fillId="0" borderId="23" xfId="6" applyBorder="1" applyAlignment="1">
      <alignment horizontal="center"/>
    </xf>
    <xf numFmtId="0" fontId="2" fillId="0" borderId="24" xfId="6" applyBorder="1" applyAlignment="1">
      <alignment horizontal="center"/>
    </xf>
    <xf numFmtId="0" fontId="10" fillId="0" borderId="40" xfId="6" applyFont="1" applyBorder="1"/>
    <xf numFmtId="0" fontId="2" fillId="0" borderId="20" xfId="6" applyBorder="1" applyAlignment="1">
      <alignment horizontal="center"/>
    </xf>
    <xf numFmtId="0" fontId="2" fillId="0" borderId="13" xfId="6" applyBorder="1" applyAlignment="1">
      <alignment horizontal="center"/>
    </xf>
    <xf numFmtId="166" fontId="2" fillId="0" borderId="13" xfId="6" applyNumberFormat="1" applyBorder="1" applyAlignment="1">
      <alignment horizontal="center" vertical="center"/>
    </xf>
    <xf numFmtId="0" fontId="2" fillId="0" borderId="13" xfId="6" applyBorder="1" applyAlignment="1">
      <alignment horizontal="center" vertical="center"/>
    </xf>
    <xf numFmtId="2" fontId="2" fillId="0" borderId="13" xfId="6" applyNumberFormat="1" applyBorder="1" applyAlignment="1">
      <alignment horizontal="center" vertical="center"/>
    </xf>
    <xf numFmtId="0" fontId="2" fillId="0" borderId="21" xfId="6" applyBorder="1" applyAlignment="1">
      <alignment horizontal="center"/>
    </xf>
    <xf numFmtId="0" fontId="2" fillId="0" borderId="41" xfId="6" applyBorder="1" applyAlignment="1">
      <alignment horizontal="center"/>
    </xf>
    <xf numFmtId="0" fontId="2" fillId="0" borderId="1" xfId="6" applyBorder="1" applyAlignment="1">
      <alignment horizontal="center"/>
    </xf>
    <xf numFmtId="166" fontId="2" fillId="0" borderId="1" xfId="6" applyNumberFormat="1" applyBorder="1" applyAlignment="1">
      <alignment horizontal="center" vertical="center"/>
    </xf>
    <xf numFmtId="0" fontId="2" fillId="0" borderId="40" xfId="6" applyBorder="1"/>
    <xf numFmtId="0" fontId="2" fillId="0" borderId="42" xfId="6" applyBorder="1"/>
    <xf numFmtId="0" fontId="10" fillId="0" borderId="39" xfId="6" applyFont="1" applyBorder="1"/>
    <xf numFmtId="0" fontId="2" fillId="0" borderId="39" xfId="6" applyBorder="1"/>
    <xf numFmtId="0" fontId="2" fillId="0" borderId="45" xfId="6" applyBorder="1"/>
    <xf numFmtId="0" fontId="2" fillId="0" borderId="8" xfId="6" applyBorder="1" applyAlignment="1">
      <alignment horizontal="center"/>
    </xf>
    <xf numFmtId="0" fontId="2" fillId="0" borderId="34" xfId="6" applyBorder="1" applyAlignment="1">
      <alignment horizontal="center"/>
    </xf>
    <xf numFmtId="0" fontId="2" fillId="0" borderId="43" xfId="6" applyBorder="1" applyAlignment="1">
      <alignment horizontal="center"/>
    </xf>
    <xf numFmtId="2" fontId="2" fillId="0" borderId="36" xfId="6" applyNumberFormat="1" applyBorder="1" applyAlignment="1">
      <alignment horizontal="center"/>
    </xf>
    <xf numFmtId="2" fontId="2" fillId="0" borderId="37" xfId="6" applyNumberFormat="1" applyBorder="1" applyAlignment="1">
      <alignment horizontal="center"/>
    </xf>
    <xf numFmtId="2" fontId="2" fillId="0" borderId="38" xfId="6" applyNumberFormat="1" applyBorder="1" applyAlignment="1">
      <alignment horizontal="center"/>
    </xf>
    <xf numFmtId="2" fontId="2" fillId="0" borderId="41" xfId="6" applyNumberFormat="1" applyBorder="1" applyAlignment="1">
      <alignment horizontal="center"/>
    </xf>
    <xf numFmtId="2" fontId="2" fillId="0" borderId="1" xfId="6" applyNumberFormat="1" applyBorder="1" applyAlignment="1">
      <alignment horizontal="center"/>
    </xf>
    <xf numFmtId="2" fontId="2" fillId="0" borderId="44" xfId="6" applyNumberFormat="1" applyBorder="1" applyAlignment="1">
      <alignment horizontal="center"/>
    </xf>
    <xf numFmtId="2" fontId="2" fillId="0" borderId="22" xfId="6" applyNumberFormat="1" applyBorder="1" applyAlignment="1">
      <alignment horizontal="center"/>
    </xf>
    <xf numFmtId="2" fontId="2" fillId="0" borderId="23" xfId="6" applyNumberFormat="1" applyBorder="1" applyAlignment="1">
      <alignment horizontal="center"/>
    </xf>
    <xf numFmtId="2" fontId="2" fillId="0" borderId="24" xfId="6" applyNumberForma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41" xfId="0" applyBorder="1" applyAlignment="1">
      <alignment horizontal="center"/>
    </xf>
    <xf numFmtId="0" fontId="0" fillId="0" borderId="44"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36" xfId="0" applyBorder="1"/>
    <xf numFmtId="166" fontId="0" fillId="0" borderId="37" xfId="0" applyNumberFormat="1" applyBorder="1" applyAlignment="1">
      <alignment horizontal="center"/>
    </xf>
    <xf numFmtId="1" fontId="0" fillId="0" borderId="37" xfId="0" applyNumberFormat="1" applyBorder="1" applyAlignment="1">
      <alignment horizontal="center"/>
    </xf>
    <xf numFmtId="1" fontId="0" fillId="0" borderId="38" xfId="0" applyNumberFormat="1" applyBorder="1" applyAlignment="1">
      <alignment horizontal="center"/>
    </xf>
    <xf numFmtId="0" fontId="0" fillId="0" borderId="41" xfId="0" applyBorder="1"/>
    <xf numFmtId="1" fontId="0" fillId="0" borderId="44" xfId="0" applyNumberFormat="1" applyBorder="1" applyAlignment="1">
      <alignment horizontal="center"/>
    </xf>
    <xf numFmtId="0" fontId="0" fillId="0" borderId="22" xfId="0" applyBorder="1"/>
    <xf numFmtId="166" fontId="0" fillId="0" borderId="23" xfId="0" applyNumberFormat="1" applyBorder="1" applyAlignment="1">
      <alignment horizontal="center"/>
    </xf>
    <xf numFmtId="1" fontId="0" fillId="0" borderId="23" xfId="0" applyNumberFormat="1" applyBorder="1" applyAlignment="1">
      <alignment horizontal="center"/>
    </xf>
    <xf numFmtId="1" fontId="0" fillId="0" borderId="24" xfId="0" applyNumberFormat="1"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2" fontId="0" fillId="7" borderId="7" xfId="0" applyNumberFormat="1" applyFill="1" applyBorder="1" applyAlignment="1">
      <alignment horizontal="center"/>
    </xf>
    <xf numFmtId="2" fontId="0" fillId="7" borderId="9" xfId="0" applyNumberFormat="1" applyFill="1" applyBorder="1" applyAlignment="1">
      <alignment horizontal="center"/>
    </xf>
    <xf numFmtId="0" fontId="0" fillId="0" borderId="59" xfId="0" applyBorder="1" applyAlignment="1">
      <alignment horizontal="center"/>
    </xf>
    <xf numFmtId="0" fontId="0" fillId="0" borderId="9"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58" xfId="0" applyBorder="1" applyAlignment="1">
      <alignment horizontal="center"/>
    </xf>
    <xf numFmtId="0" fontId="0" fillId="0" borderId="38" xfId="0" applyBorder="1" applyAlignment="1">
      <alignment horizontal="center"/>
    </xf>
    <xf numFmtId="0" fontId="0" fillId="0" borderId="47" xfId="0" applyBorder="1" applyAlignment="1">
      <alignment horizontal="center"/>
    </xf>
    <xf numFmtId="2" fontId="0" fillId="3" borderId="0" xfId="0" applyNumberFormat="1" applyFill="1" applyAlignment="1">
      <alignment horizontal="center"/>
    </xf>
    <xf numFmtId="166" fontId="0" fillId="0" borderId="1" xfId="0" applyNumberFormat="1" applyBorder="1" applyAlignment="1">
      <alignment horizontal="left"/>
    </xf>
    <xf numFmtId="0" fontId="0" fillId="7" borderId="8" xfId="0" applyFill="1" applyBorder="1" applyAlignment="1">
      <alignment horizontal="center"/>
    </xf>
    <xf numFmtId="0" fontId="0" fillId="0" borderId="64" xfId="0" applyBorder="1" applyAlignment="1">
      <alignment horizontal="center"/>
    </xf>
    <xf numFmtId="0" fontId="0" fillId="0" borderId="34" xfId="0" applyBorder="1" applyAlignment="1">
      <alignment horizontal="center"/>
    </xf>
    <xf numFmtId="0" fontId="0" fillId="0" borderId="65" xfId="0" applyBorder="1" applyAlignment="1">
      <alignment horizontal="center"/>
    </xf>
    <xf numFmtId="0" fontId="0" fillId="0" borderId="43" xfId="0" applyBorder="1" applyAlignment="1">
      <alignment horizontal="center"/>
    </xf>
    <xf numFmtId="2" fontId="0" fillId="0" borderId="13" xfId="0" applyNumberFormat="1" applyBorder="1" applyAlignment="1">
      <alignment horizontal="center"/>
    </xf>
    <xf numFmtId="1" fontId="0" fillId="0" borderId="36" xfId="0" applyNumberFormat="1" applyBorder="1" applyAlignment="1">
      <alignment horizontal="center"/>
    </xf>
    <xf numFmtId="1" fontId="0" fillId="0" borderId="41" xfId="0" applyNumberFormat="1" applyBorder="1" applyAlignment="1">
      <alignment horizontal="center"/>
    </xf>
    <xf numFmtId="1" fontId="0" fillId="0" borderId="22"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6" fontId="0" fillId="7" borderId="12" xfId="0" applyNumberFormat="1" applyFill="1" applyBorder="1" applyAlignment="1">
      <alignment horizontal="center"/>
    </xf>
    <xf numFmtId="2" fontId="0" fillId="0" borderId="36" xfId="0" applyNumberFormat="1" applyBorder="1" applyAlignment="1">
      <alignment horizontal="center"/>
    </xf>
    <xf numFmtId="2" fontId="0" fillId="0" borderId="37" xfId="0" applyNumberFormat="1" applyBorder="1" applyAlignment="1">
      <alignment horizontal="center"/>
    </xf>
    <xf numFmtId="2" fontId="0" fillId="0" borderId="38" xfId="0" applyNumberFormat="1" applyBorder="1" applyAlignment="1">
      <alignment horizontal="center"/>
    </xf>
    <xf numFmtId="2" fontId="0" fillId="0" borderId="41" xfId="0" applyNumberFormat="1" applyBorder="1" applyAlignment="1">
      <alignment horizontal="center"/>
    </xf>
    <xf numFmtId="2" fontId="0" fillId="0" borderId="44" xfId="0" applyNumberFormat="1" applyBorder="1" applyAlignment="1">
      <alignment horizontal="center"/>
    </xf>
    <xf numFmtId="2" fontId="0" fillId="0" borderId="22" xfId="0" applyNumberFormat="1" applyBorder="1" applyAlignment="1">
      <alignment horizontal="center"/>
    </xf>
    <xf numFmtId="2" fontId="0" fillId="0" borderId="23" xfId="0" applyNumberFormat="1" applyBorder="1" applyAlignment="1">
      <alignment horizontal="center"/>
    </xf>
    <xf numFmtId="2" fontId="0" fillId="0" borderId="24" xfId="0" applyNumberFormat="1" applyBorder="1" applyAlignment="1">
      <alignment horizontal="center"/>
    </xf>
    <xf numFmtId="2" fontId="0" fillId="0" borderId="47" xfId="0" applyNumberFormat="1" applyBorder="1" applyAlignment="1">
      <alignment horizontal="center"/>
    </xf>
    <xf numFmtId="2" fontId="0" fillId="0" borderId="58" xfId="0" applyNumberFormat="1" applyBorder="1" applyAlignment="1">
      <alignment horizontal="center"/>
    </xf>
    <xf numFmtId="2" fontId="0" fillId="0" borderId="5" xfId="0" applyNumberFormat="1" applyBorder="1" applyAlignment="1">
      <alignment horizontal="center"/>
    </xf>
    <xf numFmtId="2" fontId="0" fillId="0" borderId="3" xfId="0" applyNumberFormat="1" applyBorder="1" applyAlignment="1">
      <alignment horizontal="center"/>
    </xf>
    <xf numFmtId="2" fontId="0" fillId="0" borderId="54" xfId="0" applyNumberFormat="1" applyBorder="1" applyAlignment="1">
      <alignment horizontal="center"/>
    </xf>
    <xf numFmtId="2" fontId="0" fillId="0" borderId="59" xfId="0" applyNumberFormat="1" applyBorder="1" applyAlignment="1">
      <alignment horizontal="center"/>
    </xf>
    <xf numFmtId="2" fontId="0" fillId="0" borderId="20" xfId="0" applyNumberFormat="1" applyBorder="1" applyAlignment="1">
      <alignment horizontal="center"/>
    </xf>
    <xf numFmtId="2" fontId="0" fillId="0" borderId="6" xfId="0" applyNumberFormat="1" applyBorder="1" applyAlignment="1">
      <alignment horizontal="center"/>
    </xf>
    <xf numFmtId="2" fontId="0" fillId="0" borderId="21" xfId="0" applyNumberFormat="1" applyBorder="1" applyAlignment="1">
      <alignment horizontal="center"/>
    </xf>
    <xf numFmtId="2" fontId="0" fillId="0" borderId="11" xfId="0" applyNumberFormat="1" applyBorder="1" applyAlignment="1">
      <alignment horizontal="center"/>
    </xf>
    <xf numFmtId="2" fontId="0" fillId="0" borderId="64" xfId="0" applyNumberFormat="1" applyBorder="1" applyAlignment="1">
      <alignment horizontal="center"/>
    </xf>
    <xf numFmtId="2" fontId="0" fillId="0" borderId="34" xfId="0" applyNumberFormat="1" applyBorder="1" applyAlignment="1">
      <alignment horizontal="center"/>
    </xf>
    <xf numFmtId="2" fontId="0" fillId="0" borderId="7" xfId="0" applyNumberFormat="1" applyBorder="1" applyAlignment="1">
      <alignment horizontal="center"/>
    </xf>
    <xf numFmtId="2" fontId="0" fillId="0" borderId="43" xfId="0" applyNumberFormat="1" applyBorder="1" applyAlignment="1">
      <alignment horizontal="center"/>
    </xf>
    <xf numFmtId="2" fontId="0" fillId="0" borderId="8" xfId="0" applyNumberFormat="1" applyBorder="1" applyAlignment="1">
      <alignment horizontal="center"/>
    </xf>
    <xf numFmtId="0" fontId="10" fillId="0" borderId="40" xfId="0" applyFont="1" applyBorder="1"/>
    <xf numFmtId="0" fontId="10" fillId="0" borderId="42" xfId="0" applyFont="1" applyBorder="1"/>
    <xf numFmtId="0" fontId="10" fillId="0" borderId="41" xfId="0" applyFont="1" applyBorder="1"/>
    <xf numFmtId="0" fontId="10" fillId="0" borderId="22" xfId="0" applyFont="1" applyBorder="1"/>
    <xf numFmtId="2" fontId="0" fillId="0" borderId="48" xfId="0" applyNumberFormat="1" applyBorder="1" applyAlignment="1">
      <alignment horizontal="center"/>
    </xf>
    <xf numFmtId="2" fontId="0" fillId="0" borderId="49" xfId="0" applyNumberFormat="1" applyBorder="1" applyAlignment="1">
      <alignment horizontal="center"/>
    </xf>
    <xf numFmtId="2" fontId="0" fillId="0" borderId="60" xfId="0" applyNumberFormat="1" applyBorder="1" applyAlignment="1">
      <alignment horizontal="center"/>
    </xf>
    <xf numFmtId="2" fontId="0" fillId="0" borderId="51" xfId="0" applyNumberFormat="1" applyBorder="1" applyAlignment="1">
      <alignment horizontal="center"/>
    </xf>
    <xf numFmtId="2" fontId="0" fillId="0" borderId="52" xfId="0" applyNumberFormat="1" applyBorder="1" applyAlignment="1">
      <alignment horizontal="center"/>
    </xf>
    <xf numFmtId="2" fontId="0" fillId="0" borderId="9" xfId="0" applyNumberFormat="1" applyBorder="1" applyAlignment="1">
      <alignment horizontal="center"/>
    </xf>
    <xf numFmtId="2" fontId="0" fillId="0" borderId="17" xfId="0" applyNumberFormat="1" applyBorder="1" applyAlignment="1">
      <alignment horizontal="center"/>
    </xf>
    <xf numFmtId="2" fontId="0" fillId="0" borderId="18" xfId="0" applyNumberFormat="1" applyBorder="1" applyAlignment="1">
      <alignment horizontal="center"/>
    </xf>
    <xf numFmtId="2" fontId="0" fillId="0" borderId="61" xfId="0" applyNumberFormat="1" applyBorder="1" applyAlignment="1">
      <alignment horizontal="center"/>
    </xf>
    <xf numFmtId="2" fontId="0" fillId="0" borderId="50" xfId="0" applyNumberFormat="1" applyBorder="1" applyAlignment="1">
      <alignment horizontal="center"/>
    </xf>
    <xf numFmtId="2" fontId="0" fillId="0" borderId="62" xfId="0" applyNumberFormat="1" applyBorder="1" applyAlignment="1">
      <alignment horizontal="center"/>
    </xf>
    <xf numFmtId="2" fontId="0" fillId="0" borderId="53" xfId="0" applyNumberFormat="1" applyBorder="1" applyAlignment="1">
      <alignment horizontal="center"/>
    </xf>
    <xf numFmtId="2" fontId="0" fillId="0" borderId="10" xfId="0" applyNumberFormat="1" applyBorder="1" applyAlignment="1">
      <alignment horizontal="center"/>
    </xf>
    <xf numFmtId="2" fontId="0" fillId="0" borderId="19" xfId="0" applyNumberFormat="1" applyBorder="1" applyAlignment="1">
      <alignment horizontal="center"/>
    </xf>
    <xf numFmtId="2" fontId="0" fillId="0" borderId="63" xfId="0" applyNumberFormat="1" applyBorder="1" applyAlignment="1">
      <alignment horizontal="center"/>
    </xf>
    <xf numFmtId="2" fontId="0" fillId="0" borderId="0" xfId="0" applyNumberFormat="1" applyAlignment="1">
      <alignment horizontal="center"/>
    </xf>
    <xf numFmtId="0" fontId="30" fillId="0" borderId="0" xfId="0" applyFont="1" applyAlignment="1">
      <alignment horizontal="right"/>
    </xf>
    <xf numFmtId="0" fontId="5" fillId="0" borderId="58" xfId="0" applyFont="1" applyBorder="1" applyAlignment="1">
      <alignment horizontal="center"/>
    </xf>
    <xf numFmtId="0" fontId="5" fillId="0" borderId="3" xfId="0" applyFont="1" applyBorder="1" applyAlignment="1">
      <alignment horizontal="center"/>
    </xf>
    <xf numFmtId="0" fontId="5" fillId="0" borderId="59" xfId="0" applyFont="1" applyBorder="1" applyAlignment="1">
      <alignment horizontal="center"/>
    </xf>
    <xf numFmtId="0" fontId="0" fillId="0" borderId="66" xfId="0" applyBorder="1" applyAlignment="1">
      <alignment horizontal="center"/>
    </xf>
    <xf numFmtId="0" fontId="0" fillId="0" borderId="0" xfId="2" applyFont="1"/>
    <xf numFmtId="0" fontId="0" fillId="4" borderId="0" xfId="0" applyFill="1" applyProtection="1">
      <protection locked="0"/>
    </xf>
    <xf numFmtId="0" fontId="4" fillId="0" borderId="0" xfId="0" applyFont="1" applyAlignment="1" applyProtection="1">
      <alignment horizontal="left" vertical="center"/>
      <protection locked="0"/>
    </xf>
    <xf numFmtId="0" fontId="0" fillId="0" borderId="0" xfId="0" applyAlignment="1" applyProtection="1">
      <alignment horizontal="left"/>
      <protection locked="0"/>
    </xf>
    <xf numFmtId="2" fontId="0" fillId="0" borderId="0" xfId="0" applyNumberFormat="1" applyAlignment="1" applyProtection="1">
      <alignment horizontal="left"/>
      <protection locked="0"/>
    </xf>
    <xf numFmtId="0" fontId="0" fillId="0" borderId="0" xfId="0" applyAlignment="1" applyProtection="1">
      <alignment horizontal="center"/>
      <protection locked="0"/>
    </xf>
    <xf numFmtId="0" fontId="0" fillId="0" borderId="0" xfId="0" applyAlignment="1" applyProtection="1">
      <alignment wrapText="1"/>
      <protection locked="0"/>
    </xf>
    <xf numFmtId="0" fontId="4" fillId="2" borderId="0" xfId="0" applyFont="1" applyFill="1" applyAlignment="1" applyProtection="1">
      <alignment vertical="center"/>
      <protection locked="0"/>
    </xf>
    <xf numFmtId="0" fontId="0" fillId="4" borderId="0" xfId="0" applyFill="1" applyAlignment="1" applyProtection="1">
      <alignment horizontal="center"/>
      <protection locked="0"/>
    </xf>
    <xf numFmtId="0" fontId="4" fillId="0" borderId="0" xfId="0" applyFont="1" applyAlignment="1" applyProtection="1">
      <alignment vertical="center"/>
      <protection locked="0"/>
    </xf>
    <xf numFmtId="2" fontId="0" fillId="0" borderId="0" xfId="0" applyNumberFormat="1" applyProtection="1">
      <protection locked="0"/>
    </xf>
    <xf numFmtId="0" fontId="0" fillId="0" borderId="0" xfId="0"/>
    <xf numFmtId="0" fontId="17"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xf>
    <xf numFmtId="49" fontId="0" fillId="0" borderId="0" xfId="0" applyNumberFormat="1" applyAlignment="1">
      <alignment vertical="top" wrapText="1"/>
    </xf>
    <xf numFmtId="0" fontId="19" fillId="0" borderId="0" xfId="0" applyFont="1" applyAlignment="1">
      <alignment vertical="center"/>
    </xf>
    <xf numFmtId="0" fontId="16" fillId="0" borderId="0" xfId="0" applyFont="1" applyAlignment="1">
      <alignment vertical="center"/>
    </xf>
    <xf numFmtId="49" fontId="19" fillId="0" borderId="0" xfId="0" applyNumberFormat="1" applyFont="1" applyAlignment="1">
      <alignment horizontal="center" vertical="center"/>
    </xf>
    <xf numFmtId="2" fontId="0" fillId="2" borderId="0" xfId="0" applyNumberFormat="1" applyFill="1" applyAlignment="1" applyProtection="1">
      <alignment horizontal="center"/>
      <protection locked="0"/>
    </xf>
    <xf numFmtId="0" fontId="0" fillId="9" borderId="0" xfId="0" applyFill="1" applyAlignment="1">
      <alignment horizontal="center"/>
    </xf>
    <xf numFmtId="2" fontId="0" fillId="3" borderId="0" xfId="0" applyNumberFormat="1" applyFill="1" applyAlignment="1">
      <alignment horizontal="center"/>
    </xf>
    <xf numFmtId="0" fontId="0" fillId="17" borderId="0" xfId="0" applyFill="1" applyAlignment="1" applyProtection="1">
      <alignment horizontal="center"/>
      <protection locked="0"/>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36" xfId="0" applyBorder="1" applyAlignment="1">
      <alignment horizontal="center" vertical="center" textRotation="90"/>
    </xf>
    <xf numFmtId="0" fontId="0" fillId="0" borderId="41" xfId="0" applyBorder="1" applyAlignment="1">
      <alignment horizontal="center" vertical="center" textRotation="90"/>
    </xf>
    <xf numFmtId="0" fontId="0" fillId="0" borderId="22" xfId="0" applyBorder="1" applyAlignment="1">
      <alignment horizontal="center" vertical="center" textRotation="90"/>
    </xf>
    <xf numFmtId="0" fontId="0" fillId="0" borderId="36" xfId="0" applyBorder="1" applyAlignment="1">
      <alignment horizontal="center" vertical="center" textRotation="90" wrapText="1"/>
    </xf>
    <xf numFmtId="0" fontId="0" fillId="0" borderId="41" xfId="0" applyBorder="1" applyAlignment="1">
      <alignment horizontal="center" vertical="center" textRotation="90" wrapText="1"/>
    </xf>
    <xf numFmtId="0" fontId="0" fillId="0" borderId="22" xfId="0" applyBorder="1" applyAlignment="1">
      <alignment horizontal="center" vertical="center" textRotation="90" wrapText="1"/>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58" xfId="0" applyBorder="1" applyAlignment="1">
      <alignment horizontal="center"/>
    </xf>
    <xf numFmtId="0" fontId="0" fillId="0" borderId="62" xfId="0" applyBorder="1" applyAlignment="1">
      <alignment horizontal="center"/>
    </xf>
    <xf numFmtId="0" fontId="0" fillId="0" borderId="60" xfId="0" applyBorder="1" applyAlignment="1">
      <alignment horizontal="center"/>
    </xf>
    <xf numFmtId="0" fontId="0" fillId="0" borderId="47" xfId="0" applyBorder="1" applyAlignment="1">
      <alignment horizontal="center"/>
    </xf>
    <xf numFmtId="1" fontId="5" fillId="3" borderId="3" xfId="0" applyNumberFormat="1" applyFont="1" applyFill="1" applyBorder="1" applyAlignment="1">
      <alignment horizontal="center"/>
    </xf>
    <xf numFmtId="1" fontId="5" fillId="3" borderId="4" xfId="0" applyNumberFormat="1" applyFont="1" applyFill="1" applyBorder="1" applyAlignment="1">
      <alignment horizontal="center"/>
    </xf>
    <xf numFmtId="1" fontId="5" fillId="3" borderId="5" xfId="0" applyNumberFormat="1" applyFont="1" applyFill="1" applyBorder="1" applyAlignment="1">
      <alignment horizontal="center"/>
    </xf>
    <xf numFmtId="1" fontId="5" fillId="3" borderId="6" xfId="0" applyNumberFormat="1" applyFont="1" applyFill="1" applyBorder="1" applyAlignment="1">
      <alignment horizontal="center"/>
    </xf>
    <xf numFmtId="1" fontId="5" fillId="3" borderId="2" xfId="0" applyNumberFormat="1" applyFont="1" applyFill="1" applyBorder="1" applyAlignment="1">
      <alignment horizontal="center"/>
    </xf>
    <xf numFmtId="0" fontId="0" fillId="6" borderId="0" xfId="0" applyFill="1" applyAlignment="1" applyProtection="1">
      <alignment horizontal="center"/>
      <protection locked="0"/>
    </xf>
    <xf numFmtId="0" fontId="4" fillId="0" borderId="0" xfId="0" applyFont="1" applyAlignment="1">
      <alignment horizontal="center" vertical="center"/>
    </xf>
    <xf numFmtId="0" fontId="4" fillId="2" borderId="0" xfId="0" applyFont="1" applyFill="1" applyAlignment="1" applyProtection="1">
      <alignment horizontal="left" vertical="center"/>
      <protection locked="0"/>
    </xf>
    <xf numFmtId="0" fontId="10" fillId="11" borderId="14" xfId="0" applyFont="1" applyFill="1" applyBorder="1" applyAlignment="1">
      <alignment horizontal="center"/>
    </xf>
    <xf numFmtId="0" fontId="10" fillId="11" borderId="15" xfId="0" applyFont="1" applyFill="1" applyBorder="1" applyAlignment="1">
      <alignment horizontal="center"/>
    </xf>
    <xf numFmtId="0" fontId="10" fillId="11" borderId="16" xfId="0" applyFont="1" applyFill="1" applyBorder="1" applyAlignment="1">
      <alignment horizontal="center"/>
    </xf>
    <xf numFmtId="1" fontId="5" fillId="3" borderId="11" xfId="0" applyNumberFormat="1" applyFont="1" applyFill="1" applyBorder="1" applyAlignment="1">
      <alignment horizontal="center"/>
    </xf>
    <xf numFmtId="0" fontId="4" fillId="0" borderId="0" xfId="0" applyFont="1" applyAlignment="1">
      <alignment horizontal="center"/>
    </xf>
    <xf numFmtId="0" fontId="4" fillId="2" borderId="0" xfId="0" applyFont="1" applyFill="1" applyAlignment="1" applyProtection="1">
      <alignment horizontal="center" vertical="center"/>
      <protection locked="0"/>
    </xf>
    <xf numFmtId="1" fontId="0" fillId="8" borderId="0" xfId="0" applyNumberFormat="1" applyFill="1" applyAlignment="1">
      <alignment horizontal="center"/>
    </xf>
    <xf numFmtId="0" fontId="5" fillId="18" borderId="26" xfId="0" applyFont="1" applyFill="1" applyBorder="1" applyAlignment="1">
      <alignment horizontal="center"/>
    </xf>
    <xf numFmtId="0" fontId="5" fillId="18" borderId="27" xfId="0" applyFont="1" applyFill="1" applyBorder="1" applyAlignment="1">
      <alignment horizontal="center"/>
    </xf>
    <xf numFmtId="0" fontId="5" fillId="18" borderId="28" xfId="0" applyFont="1" applyFill="1" applyBorder="1" applyAlignment="1">
      <alignment horizontal="center"/>
    </xf>
    <xf numFmtId="0" fontId="5" fillId="18" borderId="29" xfId="0" applyFont="1" applyFill="1" applyBorder="1" applyAlignment="1">
      <alignment horizontal="center"/>
    </xf>
    <xf numFmtId="0" fontId="5" fillId="18" borderId="0" xfId="0" applyFont="1" applyFill="1" applyAlignment="1">
      <alignment horizontal="center"/>
    </xf>
    <xf numFmtId="0" fontId="5" fillId="18" borderId="30" xfId="0" applyFont="1" applyFill="1" applyBorder="1" applyAlignment="1">
      <alignment horizontal="center"/>
    </xf>
    <xf numFmtId="0" fontId="5" fillId="18" borderId="31" xfId="0" applyFont="1" applyFill="1" applyBorder="1" applyAlignment="1">
      <alignment horizontal="center"/>
    </xf>
    <xf numFmtId="0" fontId="5" fillId="18" borderId="32" xfId="0" applyFont="1" applyFill="1" applyBorder="1" applyAlignment="1">
      <alignment horizontal="center"/>
    </xf>
    <xf numFmtId="0" fontId="5" fillId="18" borderId="33" xfId="0" applyFont="1" applyFill="1" applyBorder="1" applyAlignment="1">
      <alignment horizontal="center"/>
    </xf>
    <xf numFmtId="0" fontId="4" fillId="0" borderId="1" xfId="0" applyFont="1" applyBorder="1" applyAlignment="1">
      <alignment horizontal="center"/>
    </xf>
    <xf numFmtId="0" fontId="10" fillId="5" borderId="3" xfId="0" applyFont="1" applyFill="1" applyBorder="1" applyAlignment="1">
      <alignment horizontal="center"/>
    </xf>
    <xf numFmtId="0" fontId="10" fillId="5" borderId="4" xfId="0" applyFont="1" applyFill="1" applyBorder="1" applyAlignment="1">
      <alignment horizontal="center"/>
    </xf>
    <xf numFmtId="0" fontId="10" fillId="5" borderId="5" xfId="0" applyFont="1" applyFill="1" applyBorder="1" applyAlignment="1">
      <alignment horizontal="center"/>
    </xf>
    <xf numFmtId="0" fontId="2" fillId="0" borderId="37" xfId="6" applyBorder="1" applyAlignment="1">
      <alignment horizontal="center"/>
    </xf>
    <xf numFmtId="0" fontId="2" fillId="0" borderId="38" xfId="6" applyBorder="1" applyAlignment="1">
      <alignment horizontal="center"/>
    </xf>
    <xf numFmtId="0" fontId="2" fillId="0" borderId="46" xfId="6" applyBorder="1" applyAlignment="1">
      <alignment horizontal="center" vertical="center"/>
    </xf>
    <xf numFmtId="0" fontId="2" fillId="0" borderId="40" xfId="6" applyBorder="1" applyAlignment="1">
      <alignment horizontal="center" vertical="center"/>
    </xf>
    <xf numFmtId="0" fontId="2" fillId="0" borderId="47" xfId="6" applyBorder="1" applyAlignment="1">
      <alignment horizontal="center"/>
    </xf>
    <xf numFmtId="0" fontId="2" fillId="0" borderId="35" xfId="6" applyBorder="1" applyAlignment="1">
      <alignment horizontal="center" vertical="center"/>
    </xf>
    <xf numFmtId="0" fontId="2" fillId="0" borderId="39" xfId="6" applyBorder="1" applyAlignment="1">
      <alignment horizontal="center" vertical="center"/>
    </xf>
    <xf numFmtId="0" fontId="2" fillId="0" borderId="36" xfId="6" applyBorder="1" applyAlignment="1">
      <alignment horizontal="center"/>
    </xf>
    <xf numFmtId="0" fontId="0" fillId="0" borderId="36" xfId="0" applyBorder="1" applyAlignment="1">
      <alignment horizontal="center" vertical="center"/>
    </xf>
    <xf numFmtId="0" fontId="0" fillId="0" borderId="41"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cellXfs>
  <cellStyles count="8">
    <cellStyle name="Calc Values" xfId="1" xr:uid="{4CD8383A-3E56-4712-B070-410D940B4448}"/>
    <cellStyle name="Calculation Cell" xfId="4" xr:uid="{D0730E88-5117-44E2-B88F-79150DEA752B}"/>
    <cellStyle name="Good" xfId="3" builtinId="26"/>
    <cellStyle name="Normal" xfId="0" builtinId="0"/>
    <cellStyle name="Normal 2" xfId="2" xr:uid="{38EBA752-9D52-4A0F-98EF-591E5DE5ECBF}"/>
    <cellStyle name="Normal 3" xfId="6" xr:uid="{3DD67E70-AED3-4128-8E6C-0E32A9610577}"/>
    <cellStyle name="Normal 4" xfId="7" xr:uid="{7F544D71-F86B-4295-BD21-A5F7F67AEC24}"/>
    <cellStyle name="Reference Cell" xfId="5" xr:uid="{E4611263-D411-4F1B-9A24-5D041866CAEC}"/>
  </cellStyles>
  <dxfs count="29">
    <dxf>
      <font>
        <color auto="1"/>
      </font>
      <fill>
        <patternFill>
          <fgColor rgb="FFC6EFCE"/>
          <bgColor rgb="FFC6EFCE"/>
        </patternFill>
      </fill>
    </dxf>
    <dxf>
      <font>
        <color auto="1"/>
      </font>
      <fill>
        <patternFill>
          <bgColor rgb="FFFFC7CE"/>
        </patternFill>
      </fill>
    </dxf>
    <dxf>
      <font>
        <color auto="1"/>
      </font>
      <fill>
        <patternFill>
          <fgColor rgb="FFC6EFCE"/>
          <bgColor rgb="FFC6EFCE"/>
        </patternFill>
      </fill>
    </dxf>
    <dxf>
      <font>
        <color auto="1"/>
      </font>
      <fill>
        <patternFill>
          <bgColor rgb="FFFFC7CE"/>
        </patternFill>
      </fill>
    </dxf>
    <dxf>
      <font>
        <color auto="1"/>
      </font>
      <fill>
        <patternFill>
          <fgColor rgb="FFC6EFCE"/>
          <bgColor rgb="FFC6EFCE"/>
        </patternFill>
      </fill>
    </dxf>
    <dxf>
      <font>
        <color auto="1"/>
      </font>
      <fill>
        <patternFill>
          <bgColor rgb="FFFFC7CE"/>
        </patternFill>
      </fill>
    </dxf>
    <dxf>
      <font>
        <color auto="1"/>
      </font>
      <fill>
        <patternFill>
          <fgColor rgb="FFC6EFCE"/>
          <bgColor rgb="FFC6EFCE"/>
        </patternFill>
      </fill>
    </dxf>
    <dxf>
      <font>
        <color auto="1"/>
      </font>
      <fill>
        <patternFill>
          <bgColor rgb="FFFFC7CE"/>
        </patternFill>
      </fill>
    </dxf>
    <dxf>
      <font>
        <color auto="1"/>
      </font>
      <fill>
        <patternFill>
          <fgColor rgb="FFC6EFCE"/>
          <bgColor rgb="FFC6EFCE"/>
        </patternFill>
      </fill>
    </dxf>
    <dxf>
      <font>
        <color auto="1"/>
      </font>
      <fill>
        <patternFill>
          <bgColor rgb="FFFFC7CE"/>
        </patternFill>
      </fill>
    </dxf>
    <dxf>
      <font>
        <color auto="1"/>
      </font>
      <fill>
        <patternFill>
          <fgColor rgb="FFC6EFCE"/>
          <bgColor rgb="FFC6EFCE"/>
        </patternFill>
      </fill>
    </dxf>
    <dxf>
      <font>
        <color auto="1"/>
      </font>
      <fill>
        <patternFill>
          <bgColor rgb="FFFFC7CE"/>
        </patternFill>
      </fill>
    </dxf>
    <dxf>
      <font>
        <color auto="1"/>
      </font>
      <fill>
        <patternFill>
          <fgColor rgb="FFC6EFCE"/>
          <bgColor rgb="FFC6EFCE"/>
        </patternFill>
      </fill>
    </dxf>
    <dxf>
      <font>
        <color auto="1"/>
      </font>
      <fill>
        <patternFill>
          <bgColor rgb="FFFFC7CE"/>
        </patternFill>
      </fill>
    </dxf>
    <dxf>
      <numFmt numFmtId="167" formatCode="&quot;N/A&quot;"/>
    </dxf>
    <dxf>
      <numFmt numFmtId="168" formatCode="&quot;NG&quot;"/>
      <fill>
        <patternFill>
          <bgColor rgb="FFFF0000"/>
        </patternFill>
      </fill>
    </dxf>
    <dxf>
      <numFmt numFmtId="169" formatCode="&quot;Dist. Entr. &gt; Pole Height + 5'&quot;"/>
      <fill>
        <patternFill>
          <bgColor rgb="FFFF0000"/>
        </patternFill>
      </fill>
    </dxf>
    <dxf>
      <numFmt numFmtId="168" formatCode="&quot;NG&quot;"/>
      <fill>
        <patternFill>
          <bgColor rgb="FFFF0000"/>
        </patternFill>
      </fill>
    </dxf>
    <dxf>
      <numFmt numFmtId="170" formatCode="&quot;Dist. Entr. &gt; Arm Length&quot;"/>
      <fill>
        <patternFill>
          <bgColor rgb="FFFF0000"/>
        </patternFill>
      </fill>
    </dxf>
    <dxf>
      <numFmt numFmtId="168" formatCode="&quot;NG&quot;"/>
      <fill>
        <patternFill>
          <bgColor rgb="FFFF0000"/>
        </patternFill>
      </fill>
    </dxf>
    <dxf>
      <numFmt numFmtId="170" formatCode="&quot;Dist. Entr. &gt; Arm Length&quot;"/>
      <fill>
        <patternFill>
          <bgColor rgb="FFFF0000"/>
        </patternFill>
      </fill>
    </dxf>
    <dxf>
      <numFmt numFmtId="168" formatCode="&quot;NG&quot;"/>
      <fill>
        <patternFill>
          <bgColor rgb="FFFF0000"/>
        </patternFill>
      </fill>
    </dxf>
    <dxf>
      <numFmt numFmtId="170" formatCode="&quot;Dist. Entr. &gt; Arm Length&quot;"/>
      <fill>
        <patternFill>
          <bgColor rgb="FFFF0000"/>
        </patternFill>
      </fill>
    </dxf>
    <dxf>
      <numFmt numFmtId="170" formatCode="&quot;Dist. Entr. &gt; Arm Length&quot;"/>
      <fill>
        <patternFill>
          <bgColor rgb="FFFF0000"/>
        </patternFill>
      </fill>
    </dxf>
    <dxf>
      <numFmt numFmtId="168" formatCode="&quot;NG&quot;"/>
      <fill>
        <patternFill>
          <bgColor rgb="FFFF0000"/>
        </patternFill>
      </fill>
    </dxf>
    <dxf>
      <numFmt numFmtId="170" formatCode="&quot;Dist. Entr. &gt; Arm Length&quot;"/>
      <fill>
        <patternFill>
          <bgColor rgb="FFFF0000"/>
        </patternFill>
      </fill>
    </dxf>
    <dxf>
      <numFmt numFmtId="168" formatCode="&quot;NG&quot;"/>
      <fill>
        <patternFill>
          <bgColor rgb="FFFF0000"/>
        </patternFill>
      </fill>
    </dxf>
    <dxf>
      <numFmt numFmtId="170" formatCode="&quot;Dist. Entr. &gt; Arm Length&quot;"/>
      <fill>
        <patternFill>
          <bgColor rgb="FFFF0000"/>
        </patternFill>
      </fill>
    </dxf>
    <dxf>
      <font>
        <b val="0"/>
        <condense val="0"/>
        <extend val="0"/>
        <color indexed="13"/>
      </font>
      <fill>
        <patternFill patternType="solid">
          <fgColor indexed="34"/>
          <bgColor indexed="13"/>
        </patternFill>
      </fill>
    </dxf>
  </dxfs>
  <tableStyles count="0" defaultTableStyle="TableStyleMedium9" defaultPivotStyle="PivotStyleLight16"/>
  <colors>
    <mruColors>
      <color rgb="FF33CCCC"/>
      <color rgb="FFFF0000"/>
      <color rgb="FFFFC7CE"/>
      <color rgb="FF9C0006"/>
      <color rgb="FFC6EFCE"/>
      <color rgb="FF006100"/>
      <color rgb="FF00B050"/>
      <color rgb="FF29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408073023754042E-2"/>
          <c:y val="4.38957475994513E-2"/>
          <c:w val="0.83372942018611307"/>
          <c:h val="0.71928678915135613"/>
        </c:manualLayout>
      </c:layout>
      <c:scatterChart>
        <c:scatterStyle val="lineMarker"/>
        <c:varyColors val="0"/>
        <c:ser>
          <c:idx val="0"/>
          <c:order val="0"/>
          <c:tx>
            <c:v>Mast Arm</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'Graph Values'!$B$11:$B$15</c:f>
              <c:numCache>
                <c:formatCode>0.00</c:formatCode>
                <c:ptCount val="5"/>
                <c:pt idx="0">
                  <c:v>0</c:v>
                </c:pt>
                <c:pt idx="1">
                  <c:v>0</c:v>
                </c:pt>
                <c:pt idx="2">
                  <c:v>0</c:v>
                </c:pt>
                <c:pt idx="3">
                  <c:v>0</c:v>
                </c:pt>
                <c:pt idx="4">
                  <c:v>0</c:v>
                </c:pt>
              </c:numCache>
            </c:numRef>
          </c:xVal>
          <c:yVal>
            <c:numRef>
              <c:f>'Graph Values'!$C$11:$C$15</c:f>
              <c:numCache>
                <c:formatCode>0.00</c:formatCode>
                <c:ptCount val="5"/>
                <c:pt idx="0">
                  <c:v>-0.5</c:v>
                </c:pt>
                <c:pt idx="1">
                  <c:v>-0.5</c:v>
                </c:pt>
                <c:pt idx="2">
                  <c:v>0.5</c:v>
                </c:pt>
                <c:pt idx="3">
                  <c:v>0.5</c:v>
                </c:pt>
                <c:pt idx="4">
                  <c:v>-0.5</c:v>
                </c:pt>
              </c:numCache>
            </c:numRef>
          </c:yVal>
          <c:smooth val="0"/>
          <c:extLst>
            <c:ext xmlns:c16="http://schemas.microsoft.com/office/drawing/2014/chart" uri="{C3380CC4-5D6E-409C-BE32-E72D297353CC}">
              <c16:uniqueId val="{00000000-6C0D-430D-A3F1-FD114F1BCA54}"/>
            </c:ext>
          </c:extLst>
        </c:ser>
        <c:ser>
          <c:idx val="1"/>
          <c:order val="1"/>
          <c:tx>
            <c:v>Pole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'Graph Values'!$B$3:$B$7</c:f>
              <c:numCache>
                <c:formatCode>0.00</c:formatCode>
                <c:ptCount val="5"/>
                <c:pt idx="0">
                  <c:v>0</c:v>
                </c:pt>
                <c:pt idx="1">
                  <c:v>-1.5</c:v>
                </c:pt>
                <c:pt idx="2">
                  <c:v>-1.5</c:v>
                </c:pt>
                <c:pt idx="3">
                  <c:v>0</c:v>
                </c:pt>
                <c:pt idx="4">
                  <c:v>0</c:v>
                </c:pt>
              </c:numCache>
            </c:numRef>
          </c:xVal>
          <c:yVal>
            <c:numRef>
              <c:f>'Graph Values'!$C$3:$C$7</c:f>
              <c:numCache>
                <c:formatCode>General</c:formatCode>
                <c:ptCount val="5"/>
                <c:pt idx="0">
                  <c:v>-5</c:v>
                </c:pt>
                <c:pt idx="1">
                  <c:v>-5</c:v>
                </c:pt>
                <c:pt idx="2">
                  <c:v>2</c:v>
                </c:pt>
                <c:pt idx="3">
                  <c:v>2</c:v>
                </c:pt>
                <c:pt idx="4">
                  <c:v>-5</c:v>
                </c:pt>
              </c:numCache>
            </c:numRef>
          </c:yVal>
          <c:smooth val="0"/>
          <c:extLst>
            <c:ext xmlns:c16="http://schemas.microsoft.com/office/drawing/2014/chart" uri="{C3380CC4-5D6E-409C-BE32-E72D297353CC}">
              <c16:uniqueId val="{00000001-6C0D-430D-A3F1-FD114F1BCA54}"/>
            </c:ext>
          </c:extLst>
        </c:ser>
        <c:ser>
          <c:idx val="2"/>
          <c:order val="2"/>
          <c:tx>
            <c:v>Signal/Sign 1</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'Graph Values'!$G$3:$K$3</c:f>
              <c:numCache>
                <c:formatCode>0.00</c:formatCode>
                <c:ptCount val="5"/>
                <c:pt idx="0">
                  <c:v>0</c:v>
                </c:pt>
                <c:pt idx="1">
                  <c:v>0</c:v>
                </c:pt>
                <c:pt idx="2">
                  <c:v>0</c:v>
                </c:pt>
                <c:pt idx="3">
                  <c:v>0</c:v>
                </c:pt>
                <c:pt idx="4">
                  <c:v>0</c:v>
                </c:pt>
              </c:numCache>
            </c:numRef>
          </c:xVal>
          <c:yVal>
            <c:numRef>
              <c:f>'Graph Values'!$G$14:$K$14</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2-6C0D-430D-A3F1-FD114F1BCA54}"/>
            </c:ext>
          </c:extLst>
        </c:ser>
        <c:ser>
          <c:idx val="3"/>
          <c:order val="3"/>
          <c:tx>
            <c:v>Signal/Sign 2</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'Graph Values'!$G$4:$K$4</c:f>
              <c:numCache>
                <c:formatCode>0.00</c:formatCode>
                <c:ptCount val="5"/>
                <c:pt idx="0">
                  <c:v>0</c:v>
                </c:pt>
                <c:pt idx="1">
                  <c:v>0</c:v>
                </c:pt>
                <c:pt idx="2">
                  <c:v>0</c:v>
                </c:pt>
                <c:pt idx="3">
                  <c:v>0</c:v>
                </c:pt>
                <c:pt idx="4">
                  <c:v>0</c:v>
                </c:pt>
              </c:numCache>
            </c:numRef>
          </c:xVal>
          <c:yVal>
            <c:numRef>
              <c:f>'Graph Values'!$G$15:$K$15</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6C0D-430D-A3F1-FD114F1BCA54}"/>
            </c:ext>
          </c:extLst>
        </c:ser>
        <c:ser>
          <c:idx val="4"/>
          <c:order val="4"/>
          <c:tx>
            <c:v>Signal/Sign 3</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'Graph Values'!$G$5:$K$5</c:f>
              <c:numCache>
                <c:formatCode>0.00</c:formatCode>
                <c:ptCount val="5"/>
                <c:pt idx="0">
                  <c:v>0</c:v>
                </c:pt>
                <c:pt idx="1">
                  <c:v>0</c:v>
                </c:pt>
                <c:pt idx="2">
                  <c:v>0</c:v>
                </c:pt>
                <c:pt idx="3">
                  <c:v>0</c:v>
                </c:pt>
                <c:pt idx="4">
                  <c:v>0</c:v>
                </c:pt>
              </c:numCache>
            </c:numRef>
          </c:xVal>
          <c:yVal>
            <c:numRef>
              <c:f>'Graph Values'!$G$16:$K$16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6C0D-430D-A3F1-FD114F1BCA54}"/>
            </c:ext>
          </c:extLst>
        </c:ser>
        <c:ser>
          <c:idx val="5"/>
          <c:order val="5"/>
          <c:tx>
            <c:v>Signal/Sign 4</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'Graph Values'!$G$6:$K$6</c:f>
              <c:numCache>
                <c:formatCode>0.00</c:formatCode>
                <c:ptCount val="5"/>
                <c:pt idx="0">
                  <c:v>0</c:v>
                </c:pt>
                <c:pt idx="1">
                  <c:v>0</c:v>
                </c:pt>
                <c:pt idx="2">
                  <c:v>0</c:v>
                </c:pt>
                <c:pt idx="3">
                  <c:v>0</c:v>
                </c:pt>
                <c:pt idx="4">
                  <c:v>0</c:v>
                </c:pt>
              </c:numCache>
            </c:numRef>
          </c:xVal>
          <c:yVal>
            <c:numRef>
              <c:f>'Graph Values'!$G$17:$K$17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5-6C0D-430D-A3F1-FD114F1BCA54}"/>
            </c:ext>
          </c:extLst>
        </c:ser>
        <c:ser>
          <c:idx val="6"/>
          <c:order val="6"/>
          <c:tx>
            <c:v>Signal/Sign 5</c:v>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numRef>
              <c:f>'Graph Values'!$G$7:$K$7</c:f>
              <c:numCache>
                <c:formatCode>0.00</c:formatCode>
                <c:ptCount val="5"/>
                <c:pt idx="0">
                  <c:v>0</c:v>
                </c:pt>
                <c:pt idx="1">
                  <c:v>0</c:v>
                </c:pt>
                <c:pt idx="2">
                  <c:v>0</c:v>
                </c:pt>
                <c:pt idx="3">
                  <c:v>0</c:v>
                </c:pt>
                <c:pt idx="4">
                  <c:v>0</c:v>
                </c:pt>
              </c:numCache>
            </c:numRef>
          </c:xVal>
          <c:yVal>
            <c:numRef>
              <c:f>'Graph Values'!$G$18:$K$18</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6-6C0D-430D-A3F1-FD114F1BCA54}"/>
            </c:ext>
          </c:extLst>
        </c:ser>
        <c:ser>
          <c:idx val="7"/>
          <c:order val="7"/>
          <c:tx>
            <c:v>Signal/Sign 6</c:v>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numRef>
              <c:f>'Graph Values'!$G$8:$K$8</c:f>
              <c:numCache>
                <c:formatCode>0.00</c:formatCode>
                <c:ptCount val="5"/>
                <c:pt idx="0">
                  <c:v>0</c:v>
                </c:pt>
                <c:pt idx="1">
                  <c:v>0</c:v>
                </c:pt>
                <c:pt idx="2">
                  <c:v>0</c:v>
                </c:pt>
                <c:pt idx="3">
                  <c:v>0</c:v>
                </c:pt>
                <c:pt idx="4">
                  <c:v>0</c:v>
                </c:pt>
              </c:numCache>
            </c:numRef>
          </c:xVal>
          <c:yVal>
            <c:numRef>
              <c:f>'Graph Values'!$G$19:$K$19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7-6C0D-430D-A3F1-FD114F1BCA54}"/>
            </c:ext>
          </c:extLst>
        </c:ser>
        <c:ser>
          <c:idx val="8"/>
          <c:order val="8"/>
          <c:tx>
            <c:v>Signal/Sign 7</c:v>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numRef>
              <c:f>'Graph Values'!$G$9:$K$9</c:f>
              <c:numCache>
                <c:formatCode>0.00</c:formatCode>
                <c:ptCount val="5"/>
                <c:pt idx="0">
                  <c:v>0</c:v>
                </c:pt>
                <c:pt idx="1">
                  <c:v>0</c:v>
                </c:pt>
                <c:pt idx="2">
                  <c:v>0</c:v>
                </c:pt>
                <c:pt idx="3">
                  <c:v>0</c:v>
                </c:pt>
                <c:pt idx="4">
                  <c:v>0</c:v>
                </c:pt>
              </c:numCache>
            </c:numRef>
          </c:xVal>
          <c:yVal>
            <c:numRef>
              <c:f>'Graph Values'!$G$20:$K$20</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8-6C0D-430D-A3F1-FD114F1BCA54}"/>
            </c:ext>
          </c:extLst>
        </c:ser>
        <c:ser>
          <c:idx val="9"/>
          <c:order val="9"/>
          <c:tx>
            <c:v>Signal/Sign 8</c:v>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numRef>
              <c:f>'Graph Values'!$G$10:$K$10</c:f>
              <c:numCache>
                <c:formatCode>0.00</c:formatCode>
                <c:ptCount val="5"/>
                <c:pt idx="0">
                  <c:v>0</c:v>
                </c:pt>
                <c:pt idx="1">
                  <c:v>0</c:v>
                </c:pt>
                <c:pt idx="2">
                  <c:v>0</c:v>
                </c:pt>
                <c:pt idx="3">
                  <c:v>0</c:v>
                </c:pt>
                <c:pt idx="4">
                  <c:v>0</c:v>
                </c:pt>
              </c:numCache>
            </c:numRef>
          </c:xVal>
          <c:yVal>
            <c:numRef>
              <c:f>'Graph Values'!$G$21:$K$21</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9-6C0D-430D-A3F1-FD114F1BCA54}"/>
            </c:ext>
          </c:extLst>
        </c:ser>
        <c:ser>
          <c:idx val="10"/>
          <c:order val="10"/>
          <c:tx>
            <c:v>Signal/Sign 9</c:v>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numRef>
              <c:f>'Graph Values'!$G$11:$K$11</c:f>
              <c:numCache>
                <c:formatCode>0.00</c:formatCode>
                <c:ptCount val="5"/>
                <c:pt idx="0">
                  <c:v>0</c:v>
                </c:pt>
                <c:pt idx="1">
                  <c:v>0</c:v>
                </c:pt>
                <c:pt idx="2">
                  <c:v>0</c:v>
                </c:pt>
                <c:pt idx="3">
                  <c:v>0</c:v>
                </c:pt>
                <c:pt idx="4">
                  <c:v>0</c:v>
                </c:pt>
              </c:numCache>
            </c:numRef>
          </c:xVal>
          <c:yVal>
            <c:numRef>
              <c:f>'Graph Values'!$G$22:$K$22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A-6C0D-430D-A3F1-FD114F1BCA54}"/>
            </c:ext>
          </c:extLst>
        </c:ser>
        <c:ser>
          <c:idx val="11"/>
          <c:order val="11"/>
          <c:tx>
            <c:v>Signal/Sign 10</c:v>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numRef>
              <c:f>'Graph Values'!$G$12:$K$12</c:f>
              <c:numCache>
                <c:formatCode>0.00</c:formatCode>
                <c:ptCount val="5"/>
                <c:pt idx="0">
                  <c:v>0</c:v>
                </c:pt>
                <c:pt idx="1">
                  <c:v>0</c:v>
                </c:pt>
                <c:pt idx="2">
                  <c:v>0</c:v>
                </c:pt>
                <c:pt idx="3">
                  <c:v>0</c:v>
                </c:pt>
                <c:pt idx="4">
                  <c:v>0</c:v>
                </c:pt>
              </c:numCache>
            </c:numRef>
          </c:xVal>
          <c:yVal>
            <c:numRef>
              <c:f>'Graph Values'!$G$23:$K$23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B-6C0D-430D-A3F1-FD114F1BCA54}"/>
            </c:ext>
          </c:extLst>
        </c:ser>
        <c:dLbls>
          <c:showLegendKey val="0"/>
          <c:showVal val="0"/>
          <c:showCatName val="0"/>
          <c:showSerName val="0"/>
          <c:showPercent val="0"/>
          <c:showBubbleSize val="0"/>
        </c:dLbls>
        <c:axId val="684255336"/>
        <c:axId val="1"/>
      </c:scatterChart>
      <c:valAx>
        <c:axId val="684255336"/>
        <c:scaling>
          <c:orientation val="maxMin"/>
          <c:max val="60"/>
          <c:min val="-5"/>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valAx>
      <c:valAx>
        <c:axId val="1"/>
        <c:scaling>
          <c:orientation val="minMax"/>
          <c:max val="5"/>
          <c:min val="-5"/>
        </c:scaling>
        <c:delete val="0"/>
        <c:axPos val="r"/>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4255336"/>
        <c:crosses val="autoZero"/>
        <c:crossBetween val="midCat"/>
        <c:minorUnit val="5"/>
      </c:valAx>
      <c:spPr>
        <a:noFill/>
        <a:ln w="25400">
          <a:noFill/>
        </a:ln>
      </c:spPr>
    </c:plotArea>
    <c:legend>
      <c:legendPos val="r"/>
      <c:layout>
        <c:manualLayout>
          <c:xMode val="edge"/>
          <c:yMode val="edge"/>
          <c:x val="0.20427126009635643"/>
          <c:y val="0.78349196146400069"/>
          <c:w val="0.55988908706284735"/>
          <c:h val="0.17284020077884185"/>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a:scene3d>
      <a:camera prst="orthographicFront"/>
      <a:lightRig rig="threePt" dir="t"/>
    </a:scene3d>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408073023754042E-2"/>
          <c:y val="4.7774158523344191E-2"/>
          <c:w val="0.83372942018611307"/>
          <c:h val="0.69163952225841474"/>
        </c:manualLayout>
      </c:layout>
      <c:scatterChart>
        <c:scatterStyle val="lineMarker"/>
        <c:varyColors val="0"/>
        <c:ser>
          <c:idx val="0"/>
          <c:order val="0"/>
          <c:tx>
            <c:v>Mast Arm</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'Graph Values'!$B$19:$B$23</c:f>
              <c:numCache>
                <c:formatCode>0.00</c:formatCode>
                <c:ptCount val="5"/>
                <c:pt idx="0">
                  <c:v>0</c:v>
                </c:pt>
                <c:pt idx="1">
                  <c:v>0</c:v>
                </c:pt>
                <c:pt idx="2">
                  <c:v>0</c:v>
                </c:pt>
                <c:pt idx="3">
                  <c:v>0</c:v>
                </c:pt>
                <c:pt idx="4">
                  <c:v>0</c:v>
                </c:pt>
              </c:numCache>
            </c:numRef>
          </c:xVal>
          <c:yVal>
            <c:numRef>
              <c:f>'Graph Values'!$C$19:$C$23</c:f>
              <c:numCache>
                <c:formatCode>0.00</c:formatCode>
                <c:ptCount val="5"/>
                <c:pt idx="0">
                  <c:v>-0.5</c:v>
                </c:pt>
                <c:pt idx="1">
                  <c:v>-0.5</c:v>
                </c:pt>
                <c:pt idx="2">
                  <c:v>0.5</c:v>
                </c:pt>
                <c:pt idx="3">
                  <c:v>0.5</c:v>
                </c:pt>
                <c:pt idx="4">
                  <c:v>-0.5</c:v>
                </c:pt>
              </c:numCache>
            </c:numRef>
          </c:yVal>
          <c:smooth val="0"/>
          <c:extLst>
            <c:ext xmlns:c16="http://schemas.microsoft.com/office/drawing/2014/chart" uri="{C3380CC4-5D6E-409C-BE32-E72D297353CC}">
              <c16:uniqueId val="{00000000-AC46-48F5-8B82-A38BFD9AEC40}"/>
            </c:ext>
          </c:extLst>
        </c:ser>
        <c:ser>
          <c:idx val="1"/>
          <c:order val="1"/>
          <c:tx>
            <c:v>Pole</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'Graph Values'!$B$3:$B$7</c:f>
              <c:numCache>
                <c:formatCode>0.00</c:formatCode>
                <c:ptCount val="5"/>
                <c:pt idx="0">
                  <c:v>0</c:v>
                </c:pt>
                <c:pt idx="1">
                  <c:v>-1.5</c:v>
                </c:pt>
                <c:pt idx="2">
                  <c:v>-1.5</c:v>
                </c:pt>
                <c:pt idx="3">
                  <c:v>0</c:v>
                </c:pt>
                <c:pt idx="4">
                  <c:v>0</c:v>
                </c:pt>
              </c:numCache>
            </c:numRef>
          </c:xVal>
          <c:yVal>
            <c:numRef>
              <c:f>'Graph Values'!$C$3:$C$7</c:f>
              <c:numCache>
                <c:formatCode>General</c:formatCode>
                <c:ptCount val="5"/>
                <c:pt idx="0">
                  <c:v>-5</c:v>
                </c:pt>
                <c:pt idx="1">
                  <c:v>-5</c:v>
                </c:pt>
                <c:pt idx="2">
                  <c:v>2</c:v>
                </c:pt>
                <c:pt idx="3">
                  <c:v>2</c:v>
                </c:pt>
                <c:pt idx="4">
                  <c:v>-5</c:v>
                </c:pt>
              </c:numCache>
            </c:numRef>
          </c:yVal>
          <c:smooth val="0"/>
          <c:extLst>
            <c:ext xmlns:c16="http://schemas.microsoft.com/office/drawing/2014/chart" uri="{C3380CC4-5D6E-409C-BE32-E72D297353CC}">
              <c16:uniqueId val="{00000001-AC46-48F5-8B82-A38BFD9AEC40}"/>
            </c:ext>
          </c:extLst>
        </c:ser>
        <c:ser>
          <c:idx val="2"/>
          <c:order val="2"/>
          <c:tx>
            <c:v>Signal/Sign 1</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'Graph Values'!$G$27:$K$27</c:f>
              <c:numCache>
                <c:formatCode>0.00</c:formatCode>
                <c:ptCount val="5"/>
                <c:pt idx="0">
                  <c:v>0</c:v>
                </c:pt>
                <c:pt idx="1">
                  <c:v>0</c:v>
                </c:pt>
                <c:pt idx="2">
                  <c:v>0</c:v>
                </c:pt>
                <c:pt idx="3">
                  <c:v>0</c:v>
                </c:pt>
                <c:pt idx="4">
                  <c:v>0</c:v>
                </c:pt>
              </c:numCache>
            </c:numRef>
          </c:xVal>
          <c:yVal>
            <c:numRef>
              <c:f>'Graph Values'!$G$38:$K$38</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2-AC46-48F5-8B82-A38BFD9AEC40}"/>
            </c:ext>
          </c:extLst>
        </c:ser>
        <c:ser>
          <c:idx val="3"/>
          <c:order val="3"/>
          <c:tx>
            <c:v>Signal/Sign 2</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'Graph Values'!$G$28:$K$28</c:f>
              <c:numCache>
                <c:formatCode>0.00</c:formatCode>
                <c:ptCount val="5"/>
                <c:pt idx="0">
                  <c:v>0</c:v>
                </c:pt>
                <c:pt idx="1">
                  <c:v>0</c:v>
                </c:pt>
                <c:pt idx="2">
                  <c:v>0</c:v>
                </c:pt>
                <c:pt idx="3">
                  <c:v>0</c:v>
                </c:pt>
                <c:pt idx="4">
                  <c:v>0</c:v>
                </c:pt>
              </c:numCache>
            </c:numRef>
          </c:xVal>
          <c:yVal>
            <c:numRef>
              <c:f>'Graph Values'!$G$39:$K$39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AC46-48F5-8B82-A38BFD9AEC40}"/>
            </c:ext>
          </c:extLst>
        </c:ser>
        <c:ser>
          <c:idx val="4"/>
          <c:order val="4"/>
          <c:tx>
            <c:v>Signal/Sign 3</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'Graph Values'!$G$29:$K$29</c:f>
              <c:numCache>
                <c:formatCode>0.00</c:formatCode>
                <c:ptCount val="5"/>
                <c:pt idx="0">
                  <c:v>0</c:v>
                </c:pt>
                <c:pt idx="1">
                  <c:v>0</c:v>
                </c:pt>
                <c:pt idx="2">
                  <c:v>0</c:v>
                </c:pt>
                <c:pt idx="3">
                  <c:v>0</c:v>
                </c:pt>
                <c:pt idx="4">
                  <c:v>0</c:v>
                </c:pt>
              </c:numCache>
            </c:numRef>
          </c:xVal>
          <c:yVal>
            <c:numRef>
              <c:f>'Graph Values'!$G$40:$K$40</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4-AC46-48F5-8B82-A38BFD9AEC40}"/>
            </c:ext>
          </c:extLst>
        </c:ser>
        <c:ser>
          <c:idx val="5"/>
          <c:order val="5"/>
          <c:tx>
            <c:v>Signal/Sign 4</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'Graph Values'!$G$30:$K$30</c:f>
              <c:numCache>
                <c:formatCode>0.00</c:formatCode>
                <c:ptCount val="5"/>
                <c:pt idx="0">
                  <c:v>0</c:v>
                </c:pt>
                <c:pt idx="1">
                  <c:v>0</c:v>
                </c:pt>
                <c:pt idx="2">
                  <c:v>0</c:v>
                </c:pt>
                <c:pt idx="3">
                  <c:v>0</c:v>
                </c:pt>
                <c:pt idx="4">
                  <c:v>0</c:v>
                </c:pt>
              </c:numCache>
            </c:numRef>
          </c:xVal>
          <c:yVal>
            <c:numRef>
              <c:f>'Graph Values'!$G$41:$K$41</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5-AC46-48F5-8B82-A38BFD9AEC40}"/>
            </c:ext>
          </c:extLst>
        </c:ser>
        <c:ser>
          <c:idx val="6"/>
          <c:order val="6"/>
          <c:tx>
            <c:v>Signal/Sign 5</c:v>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xVal>
            <c:numRef>
              <c:f>'Graph Values'!$G$31:$K$31</c:f>
              <c:numCache>
                <c:formatCode>0.00</c:formatCode>
                <c:ptCount val="5"/>
                <c:pt idx="0">
                  <c:v>0</c:v>
                </c:pt>
                <c:pt idx="1">
                  <c:v>0</c:v>
                </c:pt>
                <c:pt idx="2">
                  <c:v>0</c:v>
                </c:pt>
                <c:pt idx="3">
                  <c:v>0</c:v>
                </c:pt>
                <c:pt idx="4">
                  <c:v>0</c:v>
                </c:pt>
              </c:numCache>
            </c:numRef>
          </c:xVal>
          <c:yVal>
            <c:numRef>
              <c:f>'Graph Values'!$G$42:$K$42</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6-AC46-48F5-8B82-A38BFD9AEC40}"/>
            </c:ext>
          </c:extLst>
        </c:ser>
        <c:ser>
          <c:idx val="7"/>
          <c:order val="7"/>
          <c:tx>
            <c:v>Signal/Sign 6</c:v>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xVal>
            <c:numRef>
              <c:f>'Graph Values'!$G$32:$K$32</c:f>
              <c:numCache>
                <c:formatCode>0.00</c:formatCode>
                <c:ptCount val="5"/>
                <c:pt idx="0">
                  <c:v>0</c:v>
                </c:pt>
                <c:pt idx="1">
                  <c:v>0</c:v>
                </c:pt>
                <c:pt idx="2">
                  <c:v>0</c:v>
                </c:pt>
                <c:pt idx="3">
                  <c:v>0</c:v>
                </c:pt>
                <c:pt idx="4">
                  <c:v>0</c:v>
                </c:pt>
              </c:numCache>
            </c:numRef>
          </c:xVal>
          <c:yVal>
            <c:numRef>
              <c:f>'Graph Values'!$G$43:$K$43</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7-AC46-48F5-8B82-A38BFD9AEC40}"/>
            </c:ext>
          </c:extLst>
        </c:ser>
        <c:ser>
          <c:idx val="8"/>
          <c:order val="8"/>
          <c:tx>
            <c:v>Signal/Sign 7</c:v>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xVal>
            <c:numRef>
              <c:f>'Graph Values'!$G$33:$K$33</c:f>
              <c:numCache>
                <c:formatCode>0.00</c:formatCode>
                <c:ptCount val="5"/>
                <c:pt idx="0">
                  <c:v>0</c:v>
                </c:pt>
                <c:pt idx="1">
                  <c:v>0</c:v>
                </c:pt>
                <c:pt idx="2">
                  <c:v>0</c:v>
                </c:pt>
                <c:pt idx="3">
                  <c:v>0</c:v>
                </c:pt>
                <c:pt idx="4">
                  <c:v>0</c:v>
                </c:pt>
              </c:numCache>
            </c:numRef>
          </c:xVal>
          <c:yVal>
            <c:numRef>
              <c:f>'Graph Values'!$G$44:$K$44</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8-AC46-48F5-8B82-A38BFD9AEC40}"/>
            </c:ext>
          </c:extLst>
        </c:ser>
        <c:ser>
          <c:idx val="9"/>
          <c:order val="9"/>
          <c:tx>
            <c:v>Signal/Sign 8</c:v>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xVal>
            <c:numRef>
              <c:f>'Graph Values'!$G$34:$K$34</c:f>
              <c:numCache>
                <c:formatCode>0.00</c:formatCode>
                <c:ptCount val="5"/>
                <c:pt idx="0">
                  <c:v>0</c:v>
                </c:pt>
                <c:pt idx="1">
                  <c:v>0</c:v>
                </c:pt>
                <c:pt idx="2">
                  <c:v>0</c:v>
                </c:pt>
                <c:pt idx="3">
                  <c:v>0</c:v>
                </c:pt>
                <c:pt idx="4">
                  <c:v>0</c:v>
                </c:pt>
              </c:numCache>
            </c:numRef>
          </c:xVal>
          <c:yVal>
            <c:numRef>
              <c:f>'Graph Values'!$G$45:$K$45</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9-AC46-48F5-8B82-A38BFD9AEC40}"/>
            </c:ext>
          </c:extLst>
        </c:ser>
        <c:ser>
          <c:idx val="10"/>
          <c:order val="10"/>
          <c:tx>
            <c:v>Signal/Sign 9</c:v>
          </c:tx>
          <c:spPr>
            <a:ln w="19050"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xVal>
            <c:numRef>
              <c:f>'Graph Values'!$G$35:$K$35</c:f>
              <c:numCache>
                <c:formatCode>0.00</c:formatCode>
                <c:ptCount val="5"/>
                <c:pt idx="0">
                  <c:v>0</c:v>
                </c:pt>
                <c:pt idx="1">
                  <c:v>0</c:v>
                </c:pt>
                <c:pt idx="2">
                  <c:v>0</c:v>
                </c:pt>
                <c:pt idx="3">
                  <c:v>0</c:v>
                </c:pt>
                <c:pt idx="4">
                  <c:v>0</c:v>
                </c:pt>
              </c:numCache>
            </c:numRef>
          </c:xVal>
          <c:yVal>
            <c:numRef>
              <c:f>'Graph Values'!$G$46:$K$46</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A-AC46-48F5-8B82-A38BFD9AEC40}"/>
            </c:ext>
          </c:extLst>
        </c:ser>
        <c:ser>
          <c:idx val="11"/>
          <c:order val="11"/>
          <c:tx>
            <c:v>Signal/Sign 10</c:v>
          </c:tx>
          <c:spPr>
            <a:ln w="19050"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xVal>
            <c:numRef>
              <c:f>'Graph Values'!$G$36:$K$36</c:f>
              <c:numCache>
                <c:formatCode>0.00</c:formatCode>
                <c:ptCount val="5"/>
                <c:pt idx="0">
                  <c:v>0</c:v>
                </c:pt>
                <c:pt idx="1">
                  <c:v>0</c:v>
                </c:pt>
                <c:pt idx="2">
                  <c:v>0</c:v>
                </c:pt>
                <c:pt idx="3">
                  <c:v>0</c:v>
                </c:pt>
                <c:pt idx="4">
                  <c:v>0</c:v>
                </c:pt>
              </c:numCache>
            </c:numRef>
          </c:xVal>
          <c:yVal>
            <c:numRef>
              <c:f>'Graph Values'!$G$47:$K$47</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B-AC46-48F5-8B82-A38BFD9AEC40}"/>
            </c:ext>
          </c:extLst>
        </c:ser>
        <c:dLbls>
          <c:showLegendKey val="0"/>
          <c:showVal val="0"/>
          <c:showCatName val="0"/>
          <c:showSerName val="0"/>
          <c:showPercent val="0"/>
          <c:showBubbleSize val="0"/>
        </c:dLbls>
        <c:axId val="684852864"/>
        <c:axId val="1"/>
      </c:scatterChart>
      <c:valAx>
        <c:axId val="684852864"/>
        <c:scaling>
          <c:orientation val="maxMin"/>
          <c:max val="60"/>
          <c:min val="-5"/>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valAx>
      <c:valAx>
        <c:axId val="1"/>
        <c:scaling>
          <c:orientation val="minMax"/>
          <c:max val="5"/>
          <c:min val="-5"/>
        </c:scaling>
        <c:delete val="0"/>
        <c:axPos val="r"/>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4852864"/>
        <c:crosses val="autoZero"/>
        <c:crossBetween val="midCat"/>
        <c:minorUnit val="5"/>
      </c:valAx>
      <c:spPr>
        <a:noFill/>
        <a:ln w="25400">
          <a:noFill/>
        </a:ln>
      </c:spPr>
    </c:plotArea>
    <c:legend>
      <c:legendPos val="r"/>
      <c:layout>
        <c:manualLayout>
          <c:xMode val="edge"/>
          <c:yMode val="edge"/>
          <c:x val="0.20334282682749766"/>
          <c:y val="0.78921507775697419"/>
          <c:w val="0.55988908706284735"/>
          <c:h val="0.17284020077884185"/>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495299</xdr:colOff>
      <xdr:row>24</xdr:row>
      <xdr:rowOff>47623</xdr:rowOff>
    </xdr:from>
    <xdr:to>
      <xdr:col>13</xdr:col>
      <xdr:colOff>85725</xdr:colOff>
      <xdr:row>45</xdr:row>
      <xdr:rowOff>409574</xdr:rowOff>
    </xdr:to>
    <xdr:graphicFrame macro="">
      <xdr:nvGraphicFramePr>
        <xdr:cNvPr id="1091" name="Chart 1">
          <a:extLst>
            <a:ext uri="{FF2B5EF4-FFF2-40B4-BE49-F238E27FC236}">
              <a16:creationId xmlns:a16="http://schemas.microsoft.com/office/drawing/2014/main" id="{12A88C91-9CF9-4023-96DC-17BBC84AA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676275</xdr:colOff>
      <xdr:row>119</xdr:row>
      <xdr:rowOff>47625</xdr:rowOff>
    </xdr:from>
    <xdr:to>
      <xdr:col>8</xdr:col>
      <xdr:colOff>133350</xdr:colOff>
      <xdr:row>134</xdr:row>
      <xdr:rowOff>114573</xdr:rowOff>
    </xdr:to>
    <xdr:pic>
      <xdr:nvPicPr>
        <xdr:cNvPr id="2" name="Picture 1">
          <a:extLst>
            <a:ext uri="{FF2B5EF4-FFF2-40B4-BE49-F238E27FC236}">
              <a16:creationId xmlns:a16="http://schemas.microsoft.com/office/drawing/2014/main" id="{ACDB41F7-5E3C-4647-9096-AB434919354E}"/>
            </a:ext>
          </a:extLst>
        </xdr:cNvPr>
        <xdr:cNvPicPr>
          <a:picLocks noChangeAspect="1"/>
        </xdr:cNvPicPr>
      </xdr:nvPicPr>
      <xdr:blipFill>
        <a:blip xmlns:r="http://schemas.openxmlformats.org/officeDocument/2006/relationships" r:embed="rId2"/>
        <a:stretch>
          <a:fillRect/>
        </a:stretch>
      </xdr:blipFill>
      <xdr:spPr>
        <a:xfrm>
          <a:off x="1571625" y="20621625"/>
          <a:ext cx="5905500" cy="2495823"/>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24</xdr:row>
      <xdr:rowOff>57152</xdr:rowOff>
    </xdr:from>
    <xdr:to>
      <xdr:col>13</xdr:col>
      <xdr:colOff>295276</xdr:colOff>
      <xdr:row>45</xdr:row>
      <xdr:rowOff>152401</xdr:rowOff>
    </xdr:to>
    <xdr:graphicFrame macro="">
      <xdr:nvGraphicFramePr>
        <xdr:cNvPr id="42003" name="Chart 1">
          <a:extLst>
            <a:ext uri="{FF2B5EF4-FFF2-40B4-BE49-F238E27FC236}">
              <a16:creationId xmlns:a16="http://schemas.microsoft.com/office/drawing/2014/main" id="{CA6F2FF7-0EFE-4108-93AB-6B424BD1B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200026</xdr:colOff>
      <xdr:row>27</xdr:row>
      <xdr:rowOff>19050</xdr:rowOff>
    </xdr:from>
    <xdr:to>
      <xdr:col>12</xdr:col>
      <xdr:colOff>533401</xdr:colOff>
      <xdr:row>40</xdr:row>
      <xdr:rowOff>38373</xdr:rowOff>
    </xdr:to>
    <xdr:pic>
      <xdr:nvPicPr>
        <xdr:cNvPr id="2" name="Picture 1">
          <a:extLst>
            <a:ext uri="{FF2B5EF4-FFF2-40B4-BE49-F238E27FC236}">
              <a16:creationId xmlns:a16="http://schemas.microsoft.com/office/drawing/2014/main" id="{27C45C7B-FFC9-969D-7089-C0C0A93CD48C}"/>
            </a:ext>
          </a:extLst>
        </xdr:cNvPr>
        <xdr:cNvPicPr>
          <a:picLocks noChangeAspect="1"/>
        </xdr:cNvPicPr>
      </xdr:nvPicPr>
      <xdr:blipFill>
        <a:blip xmlns:r="http://schemas.openxmlformats.org/officeDocument/2006/relationships" r:embed="rId1"/>
        <a:stretch>
          <a:fillRect/>
        </a:stretch>
      </xdr:blipFill>
      <xdr:spPr>
        <a:xfrm>
          <a:off x="2200276" y="5219700"/>
          <a:ext cx="5905500" cy="2495823"/>
        </a:xfrm>
        <a:prstGeom prst="rect">
          <a:avLst/>
        </a:prstGeom>
        <a:ln>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ddlib/pw/hntb_ltmyrick/greatlakes/d0353623/Design%20Tool%201_Strain%20Pole%20Design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ddlib/pw/hntb_ltmyrick/greatlakes/d0353623/mdot_signal_design_2023-february-XX_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
      <sheetName val="Change Log"/>
      <sheetName val="Instructions"/>
      <sheetName val="Design Tool"/>
      <sheetName val="Foundation Chart - Untethered"/>
      <sheetName val="Foundation Chart - Tethered"/>
      <sheetName val="Calculations"/>
      <sheetName val="Untethered Reference Chart"/>
      <sheetName val="Tethered Reference Chart"/>
    </sheetNames>
    <sheetDataSet>
      <sheetData sheetId="0"/>
      <sheetData sheetId="1"/>
      <sheetData sheetId="2"/>
      <sheetData sheetId="3"/>
      <sheetData sheetId="4"/>
      <sheetData sheetId="5"/>
      <sheetData sheetId="6">
        <row r="11">
          <cell r="H11" t="str">
            <v>Tethered</v>
          </cell>
        </row>
        <row r="12">
          <cell r="D12">
            <v>30</v>
          </cell>
          <cell r="F12" t="str">
            <v>Low Sand</v>
          </cell>
          <cell r="H12" t="str">
            <v>Untethered</v>
          </cell>
        </row>
        <row r="13">
          <cell r="D13">
            <v>36</v>
          </cell>
          <cell r="F13" t="str">
            <v>Med Sand</v>
          </cell>
        </row>
        <row r="14">
          <cell r="D14">
            <v>40</v>
          </cell>
          <cell r="F14" t="str">
            <v>High Sand</v>
          </cell>
        </row>
        <row r="15">
          <cell r="F15" t="str">
            <v>Low Clay</v>
          </cell>
        </row>
        <row r="16">
          <cell r="F16" t="str">
            <v>Med Clay</v>
          </cell>
        </row>
        <row r="17">
          <cell r="F17" t="str">
            <v>High Clay</v>
          </cell>
        </row>
        <row r="24">
          <cell r="B24" t="str">
            <v>Low Sand</v>
          </cell>
          <cell r="D24" t="str">
            <v>Low Clay</v>
          </cell>
        </row>
        <row r="25">
          <cell r="B25" t="str">
            <v>Med Sand</v>
          </cell>
          <cell r="D25" t="str">
            <v>Med Clay</v>
          </cell>
        </row>
        <row r="26">
          <cell r="B26" t="str">
            <v>High Sand</v>
          </cell>
          <cell r="D26" t="str">
            <v>High Clay</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
      <sheetName val="Change Log"/>
      <sheetName val="Instructions"/>
      <sheetName val="Updated Instructions"/>
      <sheetName val="Controls"/>
      <sheetName val="Design Constants"/>
      <sheetName val="AB"/>
      <sheetName val="BC"/>
      <sheetName val="CD"/>
      <sheetName val="DA"/>
      <sheetName val="A1-A"/>
      <sheetName val="A2-A"/>
      <sheetName val="Bx Spn 1"/>
      <sheetName val="Bx Spn 2"/>
      <sheetName val="Bx Spn 3"/>
      <sheetName val="Bx Spn 4"/>
      <sheetName val="Bx Spn 5"/>
      <sheetName val="Bx Spn 1 Chrt"/>
      <sheetName val="Bx Spn 2 Chrt"/>
      <sheetName val="Bx Spn 3 Chrt"/>
      <sheetName val="Bx Spn 4 Chrt"/>
      <sheetName val="Bx Spn 5 Chrt"/>
      <sheetName val="3-Way Span 1 Chart"/>
      <sheetName val="3-Way Span 2 chart"/>
      <sheetName val="4-Way tie off"/>
      <sheetName val="4-Way Span 3"/>
      <sheetName val="4-Way Span 4"/>
      <sheetName val="Equipment Wt &amp; Ht"/>
      <sheetName val="Work Authorization Costs"/>
      <sheetName val="Conduit Sizing"/>
      <sheetName val="Cables"/>
      <sheetName val="Diag Main Spn Chrt"/>
      <sheetName val="4-Way Span 3 Chart"/>
      <sheetName val="4-Way Span 4 Chart"/>
      <sheetName val="L.E.D. Wattages"/>
      <sheetName val="Merc Vap Case Signs"/>
      <sheetName val="Incandescent State Wide"/>
      <sheetName val="Detroit "/>
      <sheetName val="Others"/>
      <sheetName val="mdot_signal_design_2023-febru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3">
          <cell r="A3" t="str">
            <v>1w-1c</v>
          </cell>
          <cell r="H3">
            <v>1.3599999999999999</v>
          </cell>
        </row>
        <row r="4">
          <cell r="A4" t="str">
            <v>1w-1c w/BP</v>
          </cell>
          <cell r="H4">
            <v>2.8899999999999997</v>
          </cell>
        </row>
        <row r="5">
          <cell r="A5" t="str">
            <v>1w-1c w/CS</v>
          </cell>
          <cell r="H5">
            <v>2.11</v>
          </cell>
        </row>
        <row r="6">
          <cell r="A6" t="str">
            <v>1w-1c w/CS w/BP</v>
          </cell>
          <cell r="H6">
            <v>3.6399999999999997</v>
          </cell>
        </row>
        <row r="7">
          <cell r="A7" t="str">
            <v>1w-3c</v>
          </cell>
          <cell r="H7">
            <v>4.08</v>
          </cell>
        </row>
        <row r="8">
          <cell r="A8" t="str">
            <v>1w-3c w/BP</v>
          </cell>
          <cell r="H8">
            <v>8.67</v>
          </cell>
        </row>
        <row r="9">
          <cell r="A9" t="str">
            <v>1w-3c w/CS</v>
          </cell>
          <cell r="H9">
            <v>6.33</v>
          </cell>
        </row>
        <row r="10">
          <cell r="A10" t="str">
            <v>1w-3c w/CS w/BP</v>
          </cell>
          <cell r="H10">
            <v>10.92</v>
          </cell>
        </row>
        <row r="11">
          <cell r="A11" t="str">
            <v>1w-4c</v>
          </cell>
          <cell r="H11">
            <v>5.4399999999999995</v>
          </cell>
        </row>
        <row r="12">
          <cell r="A12" t="str">
            <v>1w-4c w/BP</v>
          </cell>
          <cell r="H12">
            <v>11.559999999999999</v>
          </cell>
        </row>
        <row r="13">
          <cell r="A13" t="str">
            <v>1w-5c (doghouse)</v>
          </cell>
          <cell r="H13">
            <v>6.81</v>
          </cell>
        </row>
        <row r="14">
          <cell r="A14" t="str">
            <v>1w-5c (doghouse) w/BP</v>
          </cell>
          <cell r="H14">
            <v>13.72</v>
          </cell>
        </row>
        <row r="15">
          <cell r="A15" t="str">
            <v>1w-5c (doghouse) w/CS</v>
          </cell>
          <cell r="H15">
            <v>9.06</v>
          </cell>
        </row>
        <row r="16">
          <cell r="A16" t="str">
            <v>1w-5c (doghouse) w/CS w/BP</v>
          </cell>
          <cell r="H16">
            <v>15.97</v>
          </cell>
        </row>
        <row r="17">
          <cell r="A17" t="str">
            <v>1w-Hawk</v>
          </cell>
          <cell r="H17">
            <v>4.08</v>
          </cell>
        </row>
        <row r="18">
          <cell r="A18" t="str">
            <v>1w-Hawk w/BP</v>
          </cell>
          <cell r="H18">
            <v>8.67</v>
          </cell>
        </row>
        <row r="19">
          <cell r="A19" t="str">
            <v>24x30 Non-iLL CS</v>
          </cell>
          <cell r="H19">
            <v>5</v>
          </cell>
        </row>
        <row r="20">
          <cell r="A20" t="str">
            <v>24x30 Non-iLL CS w/BP</v>
          </cell>
          <cell r="H20">
            <v>7.0486111111111107</v>
          </cell>
        </row>
        <row r="21">
          <cell r="A21" t="str">
            <v>36x36 LED CS</v>
          </cell>
          <cell r="H21">
            <v>9</v>
          </cell>
        </row>
        <row r="22">
          <cell r="A22" t="str">
            <v>36x36 LED CS w/BP</v>
          </cell>
          <cell r="H22">
            <v>11.673611111111111</v>
          </cell>
        </row>
        <row r="23">
          <cell r="A23" t="str">
            <v>2w 24x30 CS</v>
          </cell>
          <cell r="H23">
            <v>5</v>
          </cell>
        </row>
        <row r="24">
          <cell r="A24" t="str">
            <v>2w 24x30 CS w/BP</v>
          </cell>
          <cell r="H24">
            <v>7.0486111111111107</v>
          </cell>
        </row>
        <row r="25">
          <cell r="A25" t="str">
            <v>2w-1c</v>
          </cell>
          <cell r="H25">
            <v>1.3599999999999999</v>
          </cell>
        </row>
        <row r="26">
          <cell r="A26" t="str">
            <v>2w-1c w/BP</v>
          </cell>
          <cell r="H26">
            <v>2.8899999999999997</v>
          </cell>
        </row>
        <row r="27">
          <cell r="A27" t="str">
            <v>2w-1c w/CS</v>
          </cell>
          <cell r="H27">
            <v>2.11</v>
          </cell>
        </row>
        <row r="28">
          <cell r="A28" t="str">
            <v>2w-1c w/CS w/BP</v>
          </cell>
          <cell r="H28">
            <v>3.6399999999999997</v>
          </cell>
        </row>
        <row r="29">
          <cell r="A29" t="str">
            <v>2w-3c</v>
          </cell>
          <cell r="H29">
            <v>4.08</v>
          </cell>
        </row>
        <row r="30">
          <cell r="A30" t="str">
            <v>2w-3c w/BP</v>
          </cell>
          <cell r="H30">
            <v>8.67</v>
          </cell>
        </row>
        <row r="31">
          <cell r="A31" t="str">
            <v>2w-3c w/CS</v>
          </cell>
          <cell r="H31">
            <v>6.33</v>
          </cell>
        </row>
        <row r="32">
          <cell r="A32" t="str">
            <v>2w-3c w/CS w/BP</v>
          </cell>
          <cell r="H32">
            <v>10.92</v>
          </cell>
        </row>
        <row r="33">
          <cell r="A33" t="str">
            <v>2w-5c (doghouse)</v>
          </cell>
          <cell r="H33">
            <v>6.81</v>
          </cell>
        </row>
        <row r="34">
          <cell r="A34" t="str">
            <v>2w-5c (doghouse) w/BP</v>
          </cell>
          <cell r="H34">
            <v>13.72</v>
          </cell>
        </row>
        <row r="35">
          <cell r="A35" t="str">
            <v>3w-1c</v>
          </cell>
          <cell r="H35">
            <v>1.6999999999999997</v>
          </cell>
        </row>
        <row r="36">
          <cell r="A36" t="str">
            <v>3w-1c w/BP</v>
          </cell>
          <cell r="H36">
            <v>3.6124999999999998</v>
          </cell>
        </row>
        <row r="37">
          <cell r="A37" t="str">
            <v>3w-3c</v>
          </cell>
          <cell r="H37">
            <v>5.0999999999999996</v>
          </cell>
        </row>
        <row r="38">
          <cell r="A38" t="str">
            <v>3w-3c w/BP</v>
          </cell>
          <cell r="H38">
            <v>10.8375</v>
          </cell>
        </row>
        <row r="39">
          <cell r="A39" t="str">
            <v>3w-3c w/CS</v>
          </cell>
          <cell r="H39">
            <v>7.9124999999999996</v>
          </cell>
        </row>
        <row r="40">
          <cell r="A40" t="str">
            <v>3w-3c w/CS w/BP</v>
          </cell>
          <cell r="H40">
            <v>13.65</v>
          </cell>
        </row>
        <row r="41">
          <cell r="A41" t="str">
            <v>4w 24x30 CS</v>
          </cell>
          <cell r="H41">
            <v>7.5</v>
          </cell>
        </row>
        <row r="42">
          <cell r="A42" t="str">
            <v>4w 24x30 CS w/BP</v>
          </cell>
          <cell r="H42">
            <v>10.572916666666666</v>
          </cell>
        </row>
        <row r="43">
          <cell r="A43" t="str">
            <v>4w-1c</v>
          </cell>
          <cell r="H43">
            <v>2.04</v>
          </cell>
        </row>
        <row r="44">
          <cell r="A44" t="str">
            <v>4w-1c w/BP</v>
          </cell>
          <cell r="H44">
            <v>4.3349999999999991</v>
          </cell>
        </row>
        <row r="45">
          <cell r="A45" t="str">
            <v>4w-1c w/CS</v>
          </cell>
          <cell r="H45">
            <v>3.165</v>
          </cell>
        </row>
        <row r="46">
          <cell r="A46" t="str">
            <v>4w-1c w/CS w/BP</v>
          </cell>
          <cell r="H46">
            <v>5.4599999999999991</v>
          </cell>
        </row>
        <row r="47">
          <cell r="A47" t="str">
            <v>4w-3c</v>
          </cell>
          <cell r="H47">
            <v>6.12</v>
          </cell>
        </row>
        <row r="48">
          <cell r="A48" t="str">
            <v>4w-3c w/BP</v>
          </cell>
          <cell r="H48">
            <v>13.004999999999999</v>
          </cell>
        </row>
        <row r="49">
          <cell r="A49" t="str">
            <v>4w-3c w/CS</v>
          </cell>
          <cell r="H49">
            <v>9.495000000000001</v>
          </cell>
        </row>
        <row r="50">
          <cell r="A50" t="str">
            <v>4w-3c w/CS w/BP</v>
          </cell>
          <cell r="H50">
            <v>16.38</v>
          </cell>
        </row>
        <row r="55">
          <cell r="D55" t="str">
            <v>1w 12x27 CS</v>
          </cell>
          <cell r="H55">
            <v>2.25</v>
          </cell>
        </row>
        <row r="56">
          <cell r="D56" t="str">
            <v>1w 12x27 CS w/BP</v>
          </cell>
          <cell r="H56">
            <v>3.1875</v>
          </cell>
        </row>
        <row r="57">
          <cell r="D57" t="str">
            <v>1w 12x27 CS compact florscent</v>
          </cell>
          <cell r="H57">
            <v>2.25</v>
          </cell>
        </row>
        <row r="58">
          <cell r="D58" t="str">
            <v>1w 12x27 CS compact florscent w/BP</v>
          </cell>
          <cell r="H58">
            <v>3.1875</v>
          </cell>
        </row>
        <row r="59">
          <cell r="D59" t="str">
            <v>1w 24x30 SS</v>
          </cell>
          <cell r="H59">
            <v>5</v>
          </cell>
        </row>
        <row r="60">
          <cell r="D60" t="str">
            <v>1w 24x30 SS w/BP</v>
          </cell>
        </row>
        <row r="61">
          <cell r="D61" t="str">
            <v>1w-1c alum</v>
          </cell>
        </row>
        <row r="62">
          <cell r="D62" t="str">
            <v>1w-1c alum w/BP</v>
          </cell>
        </row>
        <row r="63">
          <cell r="D63" t="str">
            <v>1w-1c led</v>
          </cell>
        </row>
        <row r="64">
          <cell r="D64" t="str">
            <v>1w-1c led w/BP</v>
          </cell>
        </row>
        <row r="65">
          <cell r="D65" t="str">
            <v>1w-3c led</v>
          </cell>
        </row>
        <row r="66">
          <cell r="D66" t="str">
            <v>1w-3c led w/BP</v>
          </cell>
        </row>
        <row r="67">
          <cell r="D67" t="str">
            <v>2w 24x30 CS</v>
          </cell>
        </row>
        <row r="68">
          <cell r="D68" t="str">
            <v>2w 24x30 CS w/BP</v>
          </cell>
        </row>
        <row r="69">
          <cell r="D69" t="str">
            <v>2w 24x30 CS compact flourscent</v>
          </cell>
        </row>
        <row r="70">
          <cell r="D70" t="str">
            <v>2w 24x30 CS compact flourscent w/BP</v>
          </cell>
        </row>
        <row r="71">
          <cell r="D71" t="str">
            <v xml:space="preserve">2w bottom </v>
          </cell>
        </row>
        <row r="72">
          <cell r="D72" t="str">
            <v>2w bottom  w/BP</v>
          </cell>
        </row>
        <row r="73">
          <cell r="D73" t="str">
            <v>2w doghouse bottom</v>
          </cell>
        </row>
        <row r="74">
          <cell r="D74" t="str">
            <v>2w doghouse bottom w/BP</v>
          </cell>
        </row>
        <row r="75">
          <cell r="D75" t="str">
            <v>2w doghouse top</v>
          </cell>
        </row>
        <row r="76">
          <cell r="D76" t="str">
            <v>2w doghouse top w/BP</v>
          </cell>
        </row>
        <row r="77">
          <cell r="D77" t="str">
            <v>2w top bracket</v>
          </cell>
        </row>
        <row r="78">
          <cell r="D78" t="str">
            <v>2w top bracket w/BP</v>
          </cell>
        </row>
        <row r="79">
          <cell r="D79" t="str">
            <v>3w bottom</v>
          </cell>
        </row>
        <row r="80">
          <cell r="D80" t="str">
            <v>3w bottom w/BP</v>
          </cell>
        </row>
        <row r="81">
          <cell r="D81" t="str">
            <v>3w top bracket</v>
          </cell>
        </row>
        <row r="82">
          <cell r="D82" t="str">
            <v>3w top bracket w/BP</v>
          </cell>
        </row>
        <row r="83">
          <cell r="D83" t="str">
            <v>4w 12x27 CS</v>
          </cell>
        </row>
        <row r="84">
          <cell r="D84" t="str">
            <v>4w 12x27 CS w/BP</v>
          </cell>
        </row>
        <row r="85">
          <cell r="D85" t="str">
            <v>4w 24x30 CS</v>
          </cell>
        </row>
        <row r="86">
          <cell r="D86" t="str">
            <v>4w 24x30 CS w/BP</v>
          </cell>
        </row>
        <row r="87">
          <cell r="D87" t="str">
            <v>4w 24x30 CS compact florscent</v>
          </cell>
        </row>
        <row r="88">
          <cell r="D88" t="str">
            <v>4w 24x30 CS compact florscent w/BP</v>
          </cell>
        </row>
        <row r="89">
          <cell r="D89" t="str">
            <v>4w bottom</v>
          </cell>
        </row>
        <row r="90">
          <cell r="D90" t="str">
            <v>4w bottom w/BP</v>
          </cell>
        </row>
        <row r="91">
          <cell r="D91" t="str">
            <v>4w top bracket</v>
          </cell>
        </row>
        <row r="92">
          <cell r="D92" t="str">
            <v>4w top bracket w/BP</v>
          </cell>
        </row>
        <row r="93">
          <cell r="D93" t="str">
            <v>ent head</v>
          </cell>
        </row>
        <row r="94">
          <cell r="D94" t="str">
            <v>ent head w/BP</v>
          </cell>
        </row>
        <row r="95">
          <cell r="D95" t="str">
            <v>BP</v>
          </cell>
        </row>
        <row r="96">
          <cell r="D96" t="str">
            <v>span wire hanger</v>
          </cell>
        </row>
      </sheetData>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270B5-C6FF-4406-8EA7-1A9598A55F0E}">
  <sheetPr codeName="Sheet2">
    <tabColor theme="0" tint="-0.499984740745262"/>
  </sheetPr>
  <dimension ref="A2:N28"/>
  <sheetViews>
    <sheetView zoomScaleNormal="100" zoomScaleSheetLayoutView="100" workbookViewId="0">
      <selection activeCell="B4" sqref="B4"/>
    </sheetView>
  </sheetViews>
  <sheetFormatPr defaultRowHeight="15" customHeight="1" x14ac:dyDescent="0.2"/>
  <cols>
    <col min="1" max="28" width="12.85546875" customWidth="1"/>
  </cols>
  <sheetData>
    <row r="2" spans="1:14" ht="15" customHeight="1" x14ac:dyDescent="0.2">
      <c r="A2" s="245" t="s">
        <v>135</v>
      </c>
      <c r="B2" s="245"/>
      <c r="C2" s="245"/>
      <c r="D2" s="245"/>
      <c r="E2" s="245"/>
      <c r="F2" s="245"/>
      <c r="G2" s="245"/>
      <c r="H2" s="245"/>
      <c r="I2" s="245"/>
      <c r="J2" s="245"/>
    </row>
    <row r="3" spans="1:14" ht="15" customHeight="1" x14ac:dyDescent="0.2">
      <c r="A3" s="27" t="s">
        <v>3</v>
      </c>
      <c r="B3" s="52" t="s">
        <v>376</v>
      </c>
    </row>
    <row r="5" spans="1:14" ht="15" customHeight="1" x14ac:dyDescent="0.2">
      <c r="A5" s="246" t="s">
        <v>148</v>
      </c>
      <c r="B5" s="246"/>
      <c r="C5" s="246"/>
      <c r="D5" s="246"/>
      <c r="E5" s="246"/>
      <c r="F5" s="246"/>
      <c r="G5" s="246"/>
      <c r="H5" s="246"/>
      <c r="I5" s="246"/>
      <c r="J5" s="246"/>
      <c r="K5" s="53"/>
      <c r="L5" s="53"/>
      <c r="M5" s="53"/>
      <c r="N5" s="53"/>
    </row>
    <row r="6" spans="1:14" ht="15" customHeight="1" x14ac:dyDescent="0.2">
      <c r="A6" s="246"/>
      <c r="B6" s="246"/>
      <c r="C6" s="246"/>
      <c r="D6" s="246"/>
      <c r="E6" s="246"/>
      <c r="F6" s="246"/>
      <c r="G6" s="246"/>
      <c r="H6" s="246"/>
      <c r="I6" s="246"/>
      <c r="J6" s="246"/>
      <c r="K6" s="53"/>
      <c r="L6" s="53"/>
      <c r="M6" s="53"/>
      <c r="N6" s="53"/>
    </row>
    <row r="7" spans="1:14" ht="15" customHeight="1" x14ac:dyDescent="0.2">
      <c r="A7" s="246"/>
      <c r="B7" s="246"/>
      <c r="C7" s="246"/>
      <c r="D7" s="246"/>
      <c r="E7" s="246"/>
      <c r="F7" s="246"/>
      <c r="G7" s="246"/>
      <c r="H7" s="246"/>
      <c r="I7" s="246"/>
      <c r="J7" s="246"/>
      <c r="K7" s="53"/>
      <c r="L7" s="53"/>
      <c r="M7" s="53"/>
      <c r="N7" s="53"/>
    </row>
    <row r="8" spans="1:14" ht="15" customHeight="1" x14ac:dyDescent="0.2">
      <c r="A8" s="246"/>
      <c r="B8" s="246"/>
      <c r="C8" s="246"/>
      <c r="D8" s="246"/>
      <c r="E8" s="246"/>
      <c r="F8" s="246"/>
      <c r="G8" s="246"/>
      <c r="H8" s="246"/>
      <c r="I8" s="246"/>
      <c r="J8" s="246"/>
      <c r="K8" s="53"/>
      <c r="L8" s="53"/>
      <c r="M8" s="53"/>
      <c r="N8" s="53"/>
    </row>
    <row r="9" spans="1:14" ht="15" customHeight="1" x14ac:dyDescent="0.2">
      <c r="A9" s="246"/>
      <c r="B9" s="246"/>
      <c r="C9" s="246"/>
      <c r="D9" s="246"/>
      <c r="E9" s="246"/>
      <c r="F9" s="246"/>
      <c r="G9" s="246"/>
      <c r="H9" s="246"/>
      <c r="I9" s="246"/>
      <c r="J9" s="246"/>
      <c r="K9" s="53"/>
      <c r="L9" s="53"/>
      <c r="M9" s="53"/>
      <c r="N9" s="53"/>
    </row>
    <row r="10" spans="1:14" ht="15" customHeight="1" x14ac:dyDescent="0.2">
      <c r="A10" s="246"/>
      <c r="B10" s="246"/>
      <c r="C10" s="246"/>
      <c r="D10" s="246"/>
      <c r="E10" s="246"/>
      <c r="F10" s="246"/>
      <c r="G10" s="246"/>
      <c r="H10" s="246"/>
      <c r="I10" s="246"/>
      <c r="J10" s="246"/>
      <c r="K10" s="53"/>
      <c r="L10" s="53"/>
      <c r="M10" s="53"/>
      <c r="N10" s="53"/>
    </row>
    <row r="11" spans="1:14" ht="15" customHeight="1" x14ac:dyDescent="0.2">
      <c r="A11" s="246"/>
      <c r="B11" s="246"/>
      <c r="C11" s="246"/>
      <c r="D11" s="246"/>
      <c r="E11" s="246"/>
      <c r="F11" s="246"/>
      <c r="G11" s="246"/>
      <c r="H11" s="246"/>
      <c r="I11" s="246"/>
      <c r="J11" s="246"/>
      <c r="K11" s="53"/>
      <c r="L11" s="53"/>
      <c r="M11" s="53"/>
      <c r="N11" s="53"/>
    </row>
    <row r="12" spans="1:14" ht="15" customHeight="1" x14ac:dyDescent="0.2">
      <c r="A12" s="246"/>
      <c r="B12" s="246"/>
      <c r="C12" s="246"/>
      <c r="D12" s="246"/>
      <c r="E12" s="246"/>
      <c r="F12" s="246"/>
      <c r="G12" s="246"/>
      <c r="H12" s="246"/>
      <c r="I12" s="246"/>
      <c r="J12" s="246"/>
      <c r="K12" s="53"/>
      <c r="L12" s="53"/>
      <c r="M12" s="53"/>
      <c r="N12" s="53"/>
    </row>
    <row r="13" spans="1:14" ht="15" customHeight="1" x14ac:dyDescent="0.2">
      <c r="A13" s="246"/>
      <c r="B13" s="246"/>
      <c r="C13" s="246"/>
      <c r="D13" s="246"/>
      <c r="E13" s="246"/>
      <c r="F13" s="246"/>
      <c r="G13" s="246"/>
      <c r="H13" s="246"/>
      <c r="I13" s="246"/>
      <c r="J13" s="246"/>
      <c r="K13" s="53"/>
      <c r="L13" s="53"/>
      <c r="M13" s="53"/>
      <c r="N13" s="53"/>
    </row>
    <row r="14" spans="1:14" ht="15" customHeight="1" x14ac:dyDescent="0.2">
      <c r="A14" s="246"/>
      <c r="B14" s="246"/>
      <c r="C14" s="246"/>
      <c r="D14" s="246"/>
      <c r="E14" s="246"/>
      <c r="F14" s="246"/>
      <c r="G14" s="246"/>
      <c r="H14" s="246"/>
      <c r="I14" s="246"/>
      <c r="J14" s="246"/>
      <c r="K14" s="53"/>
      <c r="L14" s="53"/>
      <c r="M14" s="53"/>
      <c r="N14" s="53"/>
    </row>
    <row r="15" spans="1:14" ht="15" customHeight="1" x14ac:dyDescent="0.2">
      <c r="A15" s="54" t="s">
        <v>136</v>
      </c>
      <c r="B15" s="247" t="s">
        <v>137</v>
      </c>
      <c r="C15" s="247"/>
      <c r="D15" s="247"/>
      <c r="E15" s="247"/>
      <c r="F15" s="247"/>
      <c r="G15" s="247"/>
      <c r="H15" s="247"/>
      <c r="I15" s="247"/>
      <c r="J15" s="247"/>
      <c r="K15" s="55"/>
      <c r="L15" s="55"/>
      <c r="M15" s="55"/>
      <c r="N15" s="55"/>
    </row>
    <row r="16" spans="1:14" ht="15" customHeight="1" x14ac:dyDescent="0.2">
      <c r="A16" s="54" t="s">
        <v>138</v>
      </c>
      <c r="B16" s="247" t="s">
        <v>139</v>
      </c>
      <c r="C16" s="247"/>
      <c r="D16" s="247"/>
      <c r="E16" s="247"/>
      <c r="F16" s="247"/>
      <c r="G16" s="247"/>
      <c r="H16" s="247"/>
      <c r="I16" s="247"/>
      <c r="J16" s="247"/>
      <c r="K16" s="55"/>
      <c r="L16" s="55"/>
      <c r="M16" s="55"/>
      <c r="N16" s="55"/>
    </row>
    <row r="17" spans="1:14" ht="15" customHeight="1" x14ac:dyDescent="0.2">
      <c r="A17" s="54" t="s">
        <v>140</v>
      </c>
      <c r="B17" s="244" t="s">
        <v>141</v>
      </c>
      <c r="C17" s="244"/>
      <c r="D17" s="244"/>
      <c r="E17" s="244"/>
      <c r="F17" s="244"/>
      <c r="G17" s="244"/>
      <c r="H17" s="244"/>
      <c r="I17" s="244"/>
      <c r="J17" s="244"/>
      <c r="K17" s="55"/>
      <c r="L17" s="55"/>
      <c r="M17" s="55"/>
      <c r="N17" s="55"/>
    </row>
    <row r="18" spans="1:14" ht="15" customHeight="1" x14ac:dyDescent="0.2">
      <c r="A18" s="54" t="s">
        <v>142</v>
      </c>
      <c r="B18" s="244" t="s">
        <v>143</v>
      </c>
      <c r="C18" s="244"/>
      <c r="D18" s="244"/>
      <c r="E18" s="244"/>
      <c r="F18" s="244"/>
      <c r="G18" s="244"/>
      <c r="H18" s="244"/>
      <c r="I18" s="244"/>
      <c r="J18" s="244"/>
      <c r="K18" s="55"/>
      <c r="L18" s="55"/>
      <c r="M18" s="55"/>
      <c r="N18" s="55"/>
    </row>
    <row r="19" spans="1:14" ht="15" customHeight="1" x14ac:dyDescent="0.2">
      <c r="A19" s="54" t="s">
        <v>144</v>
      </c>
      <c r="B19" s="244" t="s">
        <v>145</v>
      </c>
      <c r="C19" s="244"/>
      <c r="D19" s="244"/>
      <c r="E19" s="244"/>
      <c r="F19" s="244"/>
      <c r="G19" s="244"/>
      <c r="H19" s="244"/>
      <c r="I19" s="244"/>
      <c r="J19" s="244"/>
      <c r="K19" s="55"/>
      <c r="L19" s="55"/>
      <c r="M19" s="55"/>
      <c r="N19" s="55"/>
    </row>
    <row r="20" spans="1:14" ht="15" customHeight="1" x14ac:dyDescent="0.2">
      <c r="A20" s="54" t="s">
        <v>146</v>
      </c>
      <c r="B20" s="244" t="s">
        <v>147</v>
      </c>
      <c r="C20" s="244"/>
      <c r="D20" s="244"/>
      <c r="E20" s="244"/>
      <c r="F20" s="244"/>
      <c r="G20" s="244"/>
      <c r="H20" s="244"/>
      <c r="I20" s="244"/>
      <c r="J20" s="244"/>
      <c r="K20" s="55"/>
      <c r="L20" s="55"/>
      <c r="M20" s="55"/>
      <c r="N20" s="55"/>
    </row>
    <row r="21" spans="1:14" ht="15" customHeight="1" x14ac:dyDescent="0.2">
      <c r="A21" s="55"/>
      <c r="B21" s="56"/>
      <c r="C21" s="56"/>
      <c r="D21" s="56"/>
      <c r="E21" s="56"/>
      <c r="F21" s="56"/>
      <c r="G21" s="56"/>
      <c r="H21" s="56"/>
      <c r="I21" s="56"/>
      <c r="J21" s="56"/>
      <c r="K21" s="55"/>
      <c r="L21" s="55"/>
      <c r="M21" s="55"/>
      <c r="N21" s="55"/>
    </row>
    <row r="22" spans="1:14" ht="15" customHeight="1" x14ac:dyDescent="0.2">
      <c r="A22" s="55"/>
      <c r="B22" s="56"/>
      <c r="C22" s="56"/>
      <c r="D22" s="56"/>
      <c r="E22" s="56"/>
      <c r="F22" s="56"/>
      <c r="G22" s="56"/>
      <c r="H22" s="56"/>
      <c r="I22" s="56"/>
      <c r="J22" s="56"/>
      <c r="K22" s="55"/>
      <c r="L22" s="55"/>
      <c r="M22" s="55"/>
      <c r="N22" s="55"/>
    </row>
    <row r="23" spans="1:14" ht="15" customHeight="1" x14ac:dyDescent="0.2">
      <c r="A23" s="55"/>
      <c r="B23" s="56"/>
      <c r="C23" s="56"/>
      <c r="D23" s="56"/>
      <c r="E23" s="56"/>
      <c r="F23" s="56"/>
      <c r="G23" s="56"/>
      <c r="H23" s="56"/>
      <c r="I23" s="56"/>
      <c r="J23" s="56"/>
      <c r="K23" s="55"/>
      <c r="L23" s="55"/>
      <c r="M23" s="55"/>
      <c r="N23" s="55"/>
    </row>
    <row r="24" spans="1:14" ht="15" customHeight="1" x14ac:dyDescent="0.2">
      <c r="A24" s="55"/>
      <c r="B24" s="56"/>
      <c r="C24" s="56"/>
      <c r="D24" s="56"/>
      <c r="E24" s="56"/>
      <c r="F24" s="56"/>
      <c r="G24" s="56"/>
      <c r="H24" s="56"/>
      <c r="I24" s="56"/>
      <c r="J24" s="56"/>
      <c r="K24" s="55"/>
      <c r="L24" s="55"/>
      <c r="M24" s="55"/>
      <c r="N24" s="55"/>
    </row>
    <row r="25" spans="1:14" ht="15" customHeight="1" x14ac:dyDescent="0.2">
      <c r="A25" s="55"/>
      <c r="B25" s="56"/>
      <c r="C25" s="56"/>
      <c r="D25" s="56"/>
      <c r="E25" s="56"/>
      <c r="F25" s="56"/>
      <c r="G25" s="56"/>
      <c r="H25" s="56"/>
      <c r="I25" s="56"/>
      <c r="J25" s="56"/>
      <c r="K25" s="55"/>
      <c r="L25" s="55"/>
      <c r="M25" s="55"/>
      <c r="N25" s="55"/>
    </row>
    <row r="26" spans="1:14" ht="15" customHeight="1" x14ac:dyDescent="0.2">
      <c r="A26" s="55"/>
      <c r="B26" s="56"/>
      <c r="C26" s="56"/>
      <c r="D26" s="56"/>
      <c r="E26" s="56"/>
      <c r="F26" s="56"/>
      <c r="G26" s="56"/>
      <c r="H26" s="56"/>
      <c r="I26" s="56"/>
      <c r="J26" s="56"/>
      <c r="K26" s="55"/>
      <c r="L26" s="55"/>
      <c r="M26" s="55"/>
    </row>
    <row r="27" spans="1:14" ht="15" customHeight="1" x14ac:dyDescent="0.2">
      <c r="A27" s="55"/>
      <c r="B27" s="56"/>
      <c r="C27" s="56"/>
      <c r="D27" s="56"/>
      <c r="E27" s="56"/>
      <c r="F27" s="56"/>
      <c r="G27" s="56"/>
      <c r="H27" s="56"/>
      <c r="I27" s="56"/>
      <c r="J27" s="56"/>
      <c r="K27" s="55"/>
      <c r="L27" s="55"/>
      <c r="M27" s="55"/>
    </row>
    <row r="28" spans="1:14" ht="15" customHeight="1" x14ac:dyDescent="0.2">
      <c r="A28" s="55"/>
      <c r="B28" s="56"/>
      <c r="C28" s="56"/>
      <c r="D28" s="56"/>
      <c r="E28" s="56"/>
      <c r="F28" s="56"/>
      <c r="G28" s="56"/>
      <c r="H28" s="56"/>
      <c r="I28" s="56"/>
      <c r="J28" s="56"/>
      <c r="K28" s="55"/>
      <c r="L28" s="55"/>
      <c r="M28" s="55"/>
    </row>
  </sheetData>
  <mergeCells count="8">
    <mergeCell ref="B19:J19"/>
    <mergeCell ref="B20:J20"/>
    <mergeCell ref="A2:J2"/>
    <mergeCell ref="A5:J14"/>
    <mergeCell ref="B15:J15"/>
    <mergeCell ref="B16:J16"/>
    <mergeCell ref="B17:J17"/>
    <mergeCell ref="B18:J18"/>
  </mergeCells>
  <pageMargins left="0.7" right="0.7" top="0.75" bottom="0.75" header="0.3" footer="0.3"/>
  <pageSetup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6635F-A65E-4091-9E0D-F4720A11C549}">
  <sheetPr>
    <tabColor theme="1"/>
  </sheetPr>
  <dimension ref="A2:BO22"/>
  <sheetViews>
    <sheetView topLeftCell="A10" workbookViewId="0">
      <selection activeCell="J19" sqref="J19"/>
    </sheetView>
  </sheetViews>
  <sheetFormatPr defaultColWidth="9.140625" defaultRowHeight="15" x14ac:dyDescent="0.25"/>
  <cols>
    <col min="1" max="1" width="11.42578125" style="109" customWidth="1"/>
    <col min="2" max="12" width="9.28515625" style="109" bestFit="1" customWidth="1"/>
    <col min="13" max="14" width="9.5703125" style="109" bestFit="1" customWidth="1"/>
    <col min="15" max="67" width="9.28515625" style="109" bestFit="1" customWidth="1"/>
    <col min="68" max="16384" width="9.140625" style="109"/>
  </cols>
  <sheetData>
    <row r="2" spans="1:67" ht="15.75" thickBot="1" x14ac:dyDescent="0.3">
      <c r="A2" s="109" t="s">
        <v>306</v>
      </c>
    </row>
    <row r="3" spans="1:67" x14ac:dyDescent="0.25">
      <c r="A3" s="305" t="s">
        <v>307</v>
      </c>
      <c r="B3" s="307" t="s">
        <v>308</v>
      </c>
      <c r="C3" s="300"/>
      <c r="D3" s="300"/>
      <c r="E3" s="300"/>
      <c r="F3" s="300" t="s">
        <v>309</v>
      </c>
      <c r="G3" s="300"/>
      <c r="H3" s="300"/>
      <c r="I3" s="300"/>
      <c r="J3" s="300" t="s">
        <v>310</v>
      </c>
      <c r="K3" s="300"/>
      <c r="L3" s="300"/>
      <c r="M3" s="300"/>
      <c r="N3" s="300" t="s">
        <v>311</v>
      </c>
      <c r="O3" s="300"/>
      <c r="P3" s="300"/>
      <c r="Q3" s="300"/>
      <c r="R3" s="300" t="s">
        <v>312</v>
      </c>
      <c r="S3" s="300"/>
      <c r="T3" s="300"/>
      <c r="U3" s="300"/>
      <c r="V3" s="300" t="s">
        <v>313</v>
      </c>
      <c r="W3" s="300"/>
      <c r="X3" s="300"/>
      <c r="Y3" s="300"/>
      <c r="Z3" s="300" t="s">
        <v>314</v>
      </c>
      <c r="AA3" s="300"/>
      <c r="AB3" s="300"/>
      <c r="AC3" s="300"/>
      <c r="AD3" s="300" t="s">
        <v>315</v>
      </c>
      <c r="AE3" s="300"/>
      <c r="AF3" s="300"/>
      <c r="AG3" s="301"/>
    </row>
    <row r="4" spans="1:67" ht="15.75" thickBot="1" x14ac:dyDescent="0.3">
      <c r="A4" s="306"/>
      <c r="B4" s="110" t="s">
        <v>297</v>
      </c>
      <c r="C4" s="111" t="s">
        <v>5</v>
      </c>
      <c r="D4" s="111" t="s">
        <v>298</v>
      </c>
      <c r="E4" s="111" t="s">
        <v>299</v>
      </c>
      <c r="F4" s="111" t="s">
        <v>297</v>
      </c>
      <c r="G4" s="111" t="s">
        <v>5</v>
      </c>
      <c r="H4" s="111" t="s">
        <v>298</v>
      </c>
      <c r="I4" s="111" t="s">
        <v>299</v>
      </c>
      <c r="J4" s="111" t="s">
        <v>297</v>
      </c>
      <c r="K4" s="111" t="s">
        <v>5</v>
      </c>
      <c r="L4" s="111" t="s">
        <v>298</v>
      </c>
      <c r="M4" s="111" t="s">
        <v>299</v>
      </c>
      <c r="N4" s="111" t="s">
        <v>297</v>
      </c>
      <c r="O4" s="111" t="s">
        <v>5</v>
      </c>
      <c r="P4" s="111" t="s">
        <v>298</v>
      </c>
      <c r="Q4" s="111" t="s">
        <v>299</v>
      </c>
      <c r="R4" s="111" t="s">
        <v>297</v>
      </c>
      <c r="S4" s="111" t="s">
        <v>5</v>
      </c>
      <c r="T4" s="111" t="s">
        <v>298</v>
      </c>
      <c r="U4" s="111" t="s">
        <v>299</v>
      </c>
      <c r="V4" s="111" t="s">
        <v>297</v>
      </c>
      <c r="W4" s="111" t="s">
        <v>5</v>
      </c>
      <c r="X4" s="111" t="s">
        <v>298</v>
      </c>
      <c r="Y4" s="111" t="s">
        <v>299</v>
      </c>
      <c r="Z4" s="111" t="s">
        <v>297</v>
      </c>
      <c r="AA4" s="111" t="s">
        <v>5</v>
      </c>
      <c r="AB4" s="111" t="s">
        <v>298</v>
      </c>
      <c r="AC4" s="111" t="s">
        <v>299</v>
      </c>
      <c r="AD4" s="111" t="s">
        <v>297</v>
      </c>
      <c r="AE4" s="111" t="s">
        <v>5</v>
      </c>
      <c r="AF4" s="111" t="s">
        <v>298</v>
      </c>
      <c r="AG4" s="112" t="s">
        <v>299</v>
      </c>
    </row>
    <row r="5" spans="1:67" x14ac:dyDescent="0.25">
      <c r="A5" s="113">
        <v>20</v>
      </c>
      <c r="B5" s="114">
        <v>12</v>
      </c>
      <c r="C5" s="115">
        <v>43</v>
      </c>
      <c r="D5" s="115">
        <v>8.67</v>
      </c>
      <c r="E5" s="116">
        <f>'Equipment Wt &amp; Ht'!$H$12</f>
        <v>1.53</v>
      </c>
      <c r="F5" s="115">
        <v>20</v>
      </c>
      <c r="G5" s="115">
        <v>43</v>
      </c>
      <c r="H5" s="115">
        <v>8.67</v>
      </c>
      <c r="I5" s="116">
        <f>'Equipment Wt &amp; Ht'!$H$12</f>
        <v>1.53</v>
      </c>
      <c r="J5" s="115">
        <f>A5</f>
        <v>20</v>
      </c>
      <c r="K5" s="117">
        <v>22.4</v>
      </c>
      <c r="L5" s="115">
        <v>2.11</v>
      </c>
      <c r="M5" s="118">
        <v>2.02</v>
      </c>
      <c r="N5" s="115">
        <f>A5</f>
        <v>20</v>
      </c>
      <c r="O5" s="117">
        <v>4.2</v>
      </c>
      <c r="P5" s="115">
        <v>0.97</v>
      </c>
      <c r="Q5" s="118">
        <v>0.97</v>
      </c>
      <c r="R5" s="115">
        <f>A5/2</f>
        <v>10</v>
      </c>
      <c r="S5" s="117">
        <v>4.2</v>
      </c>
      <c r="T5" s="115">
        <v>0.97</v>
      </c>
      <c r="U5" s="118">
        <v>0.97</v>
      </c>
      <c r="V5" s="115">
        <v>4.5</v>
      </c>
      <c r="W5" s="115">
        <v>90</v>
      </c>
      <c r="X5" s="115">
        <v>14.93</v>
      </c>
      <c r="Y5" s="118">
        <v>3.93</v>
      </c>
      <c r="Z5" s="115">
        <v>0</v>
      </c>
      <c r="AA5" s="115">
        <v>0</v>
      </c>
      <c r="AB5" s="115">
        <v>0</v>
      </c>
      <c r="AC5" s="115">
        <v>0</v>
      </c>
      <c r="AD5" s="115">
        <v>0</v>
      </c>
      <c r="AE5" s="115">
        <v>0</v>
      </c>
      <c r="AF5" s="115">
        <v>0</v>
      </c>
      <c r="AG5" s="119">
        <v>0</v>
      </c>
    </row>
    <row r="6" spans="1:67" x14ac:dyDescent="0.25">
      <c r="A6" s="113">
        <v>25</v>
      </c>
      <c r="B6" s="120">
        <v>17</v>
      </c>
      <c r="C6" s="121">
        <v>43</v>
      </c>
      <c r="D6" s="121">
        <v>8.67</v>
      </c>
      <c r="E6" s="122">
        <f>'Equipment Wt &amp; Ht'!$H$12</f>
        <v>1.53</v>
      </c>
      <c r="F6" s="121">
        <v>25</v>
      </c>
      <c r="G6" s="121">
        <v>43</v>
      </c>
      <c r="H6" s="121">
        <v>8.67</v>
      </c>
      <c r="I6" s="122">
        <f>'Equipment Wt &amp; Ht'!$H$12</f>
        <v>1.53</v>
      </c>
      <c r="J6" s="121">
        <f t="shared" ref="J6:J7" si="0">A6</f>
        <v>25</v>
      </c>
      <c r="K6" s="121">
        <v>22.4</v>
      </c>
      <c r="L6" s="121">
        <v>2.11</v>
      </c>
      <c r="M6" s="121">
        <v>2.02</v>
      </c>
      <c r="N6" s="121">
        <f t="shared" ref="N6:N7" si="1">A6</f>
        <v>25</v>
      </c>
      <c r="O6" s="121">
        <v>4.2</v>
      </c>
      <c r="P6" s="121">
        <v>0.97</v>
      </c>
      <c r="Q6" s="121">
        <v>0.97</v>
      </c>
      <c r="R6" s="121">
        <f t="shared" ref="R6:R11" si="2">A6/2</f>
        <v>12.5</v>
      </c>
      <c r="S6" s="121">
        <v>4.2</v>
      </c>
      <c r="T6" s="121">
        <v>0.97</v>
      </c>
      <c r="U6" s="121">
        <v>0.97</v>
      </c>
      <c r="V6" s="121">
        <v>4.5</v>
      </c>
      <c r="W6" s="121">
        <v>90</v>
      </c>
      <c r="X6" s="121">
        <v>14.93</v>
      </c>
      <c r="Y6" s="121">
        <v>3.93</v>
      </c>
      <c r="Z6" s="115">
        <v>0</v>
      </c>
      <c r="AA6" s="115">
        <v>0</v>
      </c>
      <c r="AB6" s="115">
        <v>0</v>
      </c>
      <c r="AC6" s="115">
        <v>0</v>
      </c>
      <c r="AD6" s="115">
        <v>0</v>
      </c>
      <c r="AE6" s="115">
        <v>0</v>
      </c>
      <c r="AF6" s="115">
        <v>0</v>
      </c>
      <c r="AG6" s="119">
        <v>0</v>
      </c>
    </row>
    <row r="7" spans="1:67" x14ac:dyDescent="0.25">
      <c r="A7" s="113">
        <v>30</v>
      </c>
      <c r="B7" s="120">
        <v>22</v>
      </c>
      <c r="C7" s="121">
        <v>43</v>
      </c>
      <c r="D7" s="121">
        <v>8.67</v>
      </c>
      <c r="E7" s="122">
        <f>'Equipment Wt &amp; Ht'!$H$12</f>
        <v>1.53</v>
      </c>
      <c r="F7" s="121">
        <v>30</v>
      </c>
      <c r="G7" s="121">
        <v>43</v>
      </c>
      <c r="H7" s="121">
        <v>8.67</v>
      </c>
      <c r="I7" s="122">
        <f>'Equipment Wt &amp; Ht'!$H$12</f>
        <v>1.53</v>
      </c>
      <c r="J7" s="121">
        <f t="shared" si="0"/>
        <v>30</v>
      </c>
      <c r="K7" s="121">
        <v>22.4</v>
      </c>
      <c r="L7" s="121">
        <v>2.11</v>
      </c>
      <c r="M7" s="121">
        <v>2.02</v>
      </c>
      <c r="N7" s="121">
        <f t="shared" si="1"/>
        <v>30</v>
      </c>
      <c r="O7" s="121">
        <v>4.2</v>
      </c>
      <c r="P7" s="121">
        <v>0.97</v>
      </c>
      <c r="Q7" s="121">
        <v>0.97</v>
      </c>
      <c r="R7" s="121">
        <f t="shared" si="2"/>
        <v>15</v>
      </c>
      <c r="S7" s="121">
        <v>4.2</v>
      </c>
      <c r="T7" s="121">
        <v>0.97</v>
      </c>
      <c r="U7" s="121">
        <v>0.97</v>
      </c>
      <c r="V7" s="121">
        <v>4.5</v>
      </c>
      <c r="W7" s="121">
        <v>90</v>
      </c>
      <c r="X7" s="121">
        <v>14.93</v>
      </c>
      <c r="Y7" s="121">
        <v>3.93</v>
      </c>
      <c r="Z7" s="115">
        <v>0</v>
      </c>
      <c r="AA7" s="115">
        <v>0</v>
      </c>
      <c r="AB7" s="115">
        <v>0</v>
      </c>
      <c r="AC7" s="115">
        <v>0</v>
      </c>
      <c r="AD7" s="115">
        <v>0</v>
      </c>
      <c r="AE7" s="115">
        <v>0</v>
      </c>
      <c r="AF7" s="115">
        <v>0</v>
      </c>
      <c r="AG7" s="119">
        <v>0</v>
      </c>
    </row>
    <row r="8" spans="1:67" x14ac:dyDescent="0.25">
      <c r="A8" s="123">
        <v>35</v>
      </c>
      <c r="B8" s="120">
        <v>19</v>
      </c>
      <c r="C8" s="121">
        <v>75</v>
      </c>
      <c r="D8" s="121">
        <v>10.92</v>
      </c>
      <c r="E8" s="122">
        <v>2.25</v>
      </c>
      <c r="F8" s="121">
        <v>27</v>
      </c>
      <c r="G8" s="121">
        <v>75</v>
      </c>
      <c r="H8" s="121">
        <v>10.92</v>
      </c>
      <c r="I8" s="122">
        <v>2.25</v>
      </c>
      <c r="J8" s="121">
        <f>A8</f>
        <v>35</v>
      </c>
      <c r="K8" s="121">
        <v>22.4</v>
      </c>
      <c r="L8" s="121">
        <v>2.11</v>
      </c>
      <c r="M8" s="121">
        <v>2.02</v>
      </c>
      <c r="N8" s="121">
        <f>A8</f>
        <v>35</v>
      </c>
      <c r="O8" s="121">
        <v>4.2</v>
      </c>
      <c r="P8" s="121">
        <v>0.97</v>
      </c>
      <c r="Q8" s="121">
        <v>0.97</v>
      </c>
      <c r="R8" s="121">
        <f t="shared" si="2"/>
        <v>17.5</v>
      </c>
      <c r="S8" s="121">
        <v>4.2</v>
      </c>
      <c r="T8" s="121">
        <v>0.97</v>
      </c>
      <c r="U8" s="121">
        <v>0.97</v>
      </c>
      <c r="V8" s="121">
        <v>4.5</v>
      </c>
      <c r="W8" s="121">
        <v>90</v>
      </c>
      <c r="X8" s="121">
        <v>14.93</v>
      </c>
      <c r="Y8" s="121">
        <v>3.93</v>
      </c>
      <c r="Z8" s="121">
        <v>35</v>
      </c>
      <c r="AA8" s="121">
        <v>69</v>
      </c>
      <c r="AB8" s="121">
        <v>13.72</v>
      </c>
      <c r="AC8" s="122">
        <v>3.02</v>
      </c>
      <c r="AD8" s="115">
        <v>0</v>
      </c>
      <c r="AE8" s="115">
        <v>0</v>
      </c>
      <c r="AF8" s="115">
        <v>0</v>
      </c>
      <c r="AG8" s="119">
        <v>0</v>
      </c>
    </row>
    <row r="9" spans="1:67" x14ac:dyDescent="0.25">
      <c r="A9" s="123">
        <v>40</v>
      </c>
      <c r="B9" s="120">
        <v>24</v>
      </c>
      <c r="C9" s="121">
        <v>75</v>
      </c>
      <c r="D9" s="121">
        <v>10.92</v>
      </c>
      <c r="E9" s="121">
        <v>2.25</v>
      </c>
      <c r="F9" s="121">
        <v>32</v>
      </c>
      <c r="G9" s="121">
        <v>75</v>
      </c>
      <c r="H9" s="121">
        <v>10.92</v>
      </c>
      <c r="I9" s="121">
        <v>2.25</v>
      </c>
      <c r="J9" s="121">
        <f t="shared" ref="J9:J11" si="3">A9</f>
        <v>40</v>
      </c>
      <c r="K9" s="121">
        <v>22.4</v>
      </c>
      <c r="L9" s="121">
        <v>2.11</v>
      </c>
      <c r="M9" s="121">
        <v>2.02</v>
      </c>
      <c r="N9" s="121">
        <f t="shared" ref="N9:N11" si="4">A9</f>
        <v>40</v>
      </c>
      <c r="O9" s="121">
        <v>4.2</v>
      </c>
      <c r="P9" s="121">
        <v>0.97</v>
      </c>
      <c r="Q9" s="121">
        <v>0.97</v>
      </c>
      <c r="R9" s="121">
        <f t="shared" si="2"/>
        <v>20</v>
      </c>
      <c r="S9" s="121">
        <v>4.2</v>
      </c>
      <c r="T9" s="121">
        <v>0.97</v>
      </c>
      <c r="U9" s="121">
        <v>0.97</v>
      </c>
      <c r="V9" s="121">
        <v>4.5</v>
      </c>
      <c r="W9" s="121">
        <v>90</v>
      </c>
      <c r="X9" s="121">
        <v>14.93</v>
      </c>
      <c r="Y9" s="121">
        <v>3.93</v>
      </c>
      <c r="Z9" s="121">
        <v>40</v>
      </c>
      <c r="AA9" s="121">
        <v>69</v>
      </c>
      <c r="AB9" s="121">
        <v>13.72</v>
      </c>
      <c r="AC9" s="121">
        <v>3.02</v>
      </c>
      <c r="AD9" s="115">
        <v>0</v>
      </c>
      <c r="AE9" s="115">
        <v>0</v>
      </c>
      <c r="AF9" s="115">
        <v>0</v>
      </c>
      <c r="AG9" s="119">
        <v>0</v>
      </c>
    </row>
    <row r="10" spans="1:67" x14ac:dyDescent="0.25">
      <c r="A10" s="123">
        <v>45</v>
      </c>
      <c r="B10" s="120">
        <v>29</v>
      </c>
      <c r="C10" s="121">
        <v>75</v>
      </c>
      <c r="D10" s="121">
        <v>10.92</v>
      </c>
      <c r="E10" s="121">
        <v>2.25</v>
      </c>
      <c r="F10" s="121">
        <v>37</v>
      </c>
      <c r="G10" s="121">
        <v>75</v>
      </c>
      <c r="H10" s="121">
        <v>10.92</v>
      </c>
      <c r="I10" s="121">
        <v>2.25</v>
      </c>
      <c r="J10" s="121">
        <f t="shared" si="3"/>
        <v>45</v>
      </c>
      <c r="K10" s="121">
        <v>22.4</v>
      </c>
      <c r="L10" s="121">
        <v>2.11</v>
      </c>
      <c r="M10" s="121">
        <v>2.02</v>
      </c>
      <c r="N10" s="121">
        <f t="shared" si="4"/>
        <v>45</v>
      </c>
      <c r="O10" s="121">
        <v>4.2</v>
      </c>
      <c r="P10" s="121">
        <v>0.97</v>
      </c>
      <c r="Q10" s="121">
        <v>0.97</v>
      </c>
      <c r="R10" s="121">
        <f t="shared" si="2"/>
        <v>22.5</v>
      </c>
      <c r="S10" s="121">
        <v>4.2</v>
      </c>
      <c r="T10" s="121">
        <v>0.97</v>
      </c>
      <c r="U10" s="121">
        <v>0.97</v>
      </c>
      <c r="V10" s="121">
        <v>4.5</v>
      </c>
      <c r="W10" s="121">
        <v>90</v>
      </c>
      <c r="X10" s="121">
        <v>14.93</v>
      </c>
      <c r="Y10" s="121">
        <v>3.93</v>
      </c>
      <c r="Z10" s="121">
        <v>45</v>
      </c>
      <c r="AA10" s="121">
        <v>69</v>
      </c>
      <c r="AB10" s="121">
        <v>13.72</v>
      </c>
      <c r="AC10" s="121">
        <v>3.02</v>
      </c>
      <c r="AD10" s="115">
        <v>0</v>
      </c>
      <c r="AE10" s="115">
        <v>0</v>
      </c>
      <c r="AF10" s="115">
        <v>0</v>
      </c>
      <c r="AG10" s="119">
        <v>0</v>
      </c>
    </row>
    <row r="11" spans="1:67" ht="15.75" thickBot="1" x14ac:dyDescent="0.3">
      <c r="A11" s="124">
        <v>50</v>
      </c>
      <c r="B11" s="110">
        <v>34</v>
      </c>
      <c r="C11" s="111">
        <v>75</v>
      </c>
      <c r="D11" s="111">
        <v>10.92</v>
      </c>
      <c r="E11" s="111">
        <v>2.25</v>
      </c>
      <c r="F11" s="111">
        <v>42</v>
      </c>
      <c r="G11" s="111">
        <v>75</v>
      </c>
      <c r="H11" s="111">
        <v>10.92</v>
      </c>
      <c r="I11" s="111">
        <v>2.25</v>
      </c>
      <c r="J11" s="111">
        <f t="shared" si="3"/>
        <v>50</v>
      </c>
      <c r="K11" s="111">
        <v>22.4</v>
      </c>
      <c r="L11" s="111">
        <v>2.11</v>
      </c>
      <c r="M11" s="111">
        <v>2.02</v>
      </c>
      <c r="N11" s="111">
        <f t="shared" si="4"/>
        <v>50</v>
      </c>
      <c r="O11" s="111">
        <v>4.2</v>
      </c>
      <c r="P11" s="111">
        <v>0.97</v>
      </c>
      <c r="Q11" s="111">
        <v>0.97</v>
      </c>
      <c r="R11" s="111">
        <f t="shared" si="2"/>
        <v>25</v>
      </c>
      <c r="S11" s="111">
        <v>4.2</v>
      </c>
      <c r="T11" s="111">
        <v>0.97</v>
      </c>
      <c r="U11" s="111">
        <v>0.97</v>
      </c>
      <c r="V11" s="111">
        <v>4.5</v>
      </c>
      <c r="W11" s="111">
        <v>90</v>
      </c>
      <c r="X11" s="111">
        <v>14.93</v>
      </c>
      <c r="Y11" s="111">
        <v>3.93</v>
      </c>
      <c r="Z11" s="111">
        <v>50</v>
      </c>
      <c r="AA11" s="111">
        <v>69</v>
      </c>
      <c r="AB11" s="111">
        <v>13.72</v>
      </c>
      <c r="AC11" s="111">
        <v>3.02</v>
      </c>
      <c r="AD11" s="111">
        <v>26</v>
      </c>
      <c r="AE11" s="111">
        <v>75</v>
      </c>
      <c r="AF11" s="111">
        <v>10.92</v>
      </c>
      <c r="AG11" s="112">
        <v>2.25</v>
      </c>
    </row>
    <row r="13" spans="1:67" ht="15.75" thickBot="1" x14ac:dyDescent="0.3">
      <c r="A13" s="109" t="s">
        <v>316</v>
      </c>
    </row>
    <row r="14" spans="1:67" x14ac:dyDescent="0.25">
      <c r="A14" s="302" t="s">
        <v>307</v>
      </c>
      <c r="B14" s="304" t="s">
        <v>5</v>
      </c>
      <c r="C14" s="300"/>
      <c r="D14" s="300"/>
      <c r="E14" s="300"/>
      <c r="F14" s="300"/>
      <c r="G14" s="300"/>
      <c r="H14" s="300"/>
      <c r="I14" s="300"/>
      <c r="J14" s="300"/>
      <c r="K14" s="300"/>
      <c r="L14" s="300"/>
      <c r="M14" s="300" t="s">
        <v>302</v>
      </c>
      <c r="N14" s="300"/>
      <c r="O14" s="300"/>
      <c r="P14" s="300"/>
      <c r="Q14" s="300"/>
      <c r="R14" s="300"/>
      <c r="S14" s="300"/>
      <c r="T14" s="300"/>
      <c r="U14" s="300"/>
      <c r="V14" s="300"/>
      <c r="W14" s="300"/>
      <c r="X14" s="300" t="s">
        <v>298</v>
      </c>
      <c r="Y14" s="300"/>
      <c r="Z14" s="300"/>
      <c r="AA14" s="300"/>
      <c r="AB14" s="300"/>
      <c r="AC14" s="300"/>
      <c r="AD14" s="300"/>
      <c r="AE14" s="300"/>
      <c r="AF14" s="300"/>
      <c r="AG14" s="300"/>
      <c r="AH14" s="300"/>
      <c r="AI14" s="300" t="s">
        <v>303</v>
      </c>
      <c r="AJ14" s="300"/>
      <c r="AK14" s="300"/>
      <c r="AL14" s="300"/>
      <c r="AM14" s="300"/>
      <c r="AN14" s="300"/>
      <c r="AO14" s="300"/>
      <c r="AP14" s="300"/>
      <c r="AQ14" s="300"/>
      <c r="AR14" s="300"/>
      <c r="AS14" s="300"/>
      <c r="AT14" s="300" t="s">
        <v>299</v>
      </c>
      <c r="AU14" s="300"/>
      <c r="AV14" s="300"/>
      <c r="AW14" s="300"/>
      <c r="AX14" s="300"/>
      <c r="AY14" s="300"/>
      <c r="AZ14" s="300"/>
      <c r="BA14" s="300"/>
      <c r="BB14" s="300"/>
      <c r="BC14" s="300"/>
      <c r="BD14" s="300"/>
      <c r="BE14" s="300" t="s">
        <v>304</v>
      </c>
      <c r="BF14" s="300"/>
      <c r="BG14" s="300"/>
      <c r="BH14" s="300"/>
      <c r="BI14" s="300"/>
      <c r="BJ14" s="300"/>
      <c r="BK14" s="300"/>
      <c r="BL14" s="300"/>
      <c r="BM14" s="300"/>
      <c r="BN14" s="300"/>
      <c r="BO14" s="301"/>
    </row>
    <row r="15" spans="1:67" ht="15.75" thickBot="1" x14ac:dyDescent="0.3">
      <c r="A15" s="303"/>
      <c r="B15" s="128">
        <v>0</v>
      </c>
      <c r="C15" s="129">
        <v>5</v>
      </c>
      <c r="D15" s="129">
        <v>10</v>
      </c>
      <c r="E15" s="129">
        <v>15</v>
      </c>
      <c r="F15" s="129">
        <v>20</v>
      </c>
      <c r="G15" s="129">
        <v>25</v>
      </c>
      <c r="H15" s="129">
        <v>30</v>
      </c>
      <c r="I15" s="129">
        <v>35</v>
      </c>
      <c r="J15" s="129">
        <v>40</v>
      </c>
      <c r="K15" s="129">
        <v>45</v>
      </c>
      <c r="L15" s="129">
        <v>50</v>
      </c>
      <c r="M15" s="129">
        <v>0</v>
      </c>
      <c r="N15" s="129">
        <v>5</v>
      </c>
      <c r="O15" s="129">
        <v>10</v>
      </c>
      <c r="P15" s="129">
        <v>15</v>
      </c>
      <c r="Q15" s="129">
        <v>20</v>
      </c>
      <c r="R15" s="129">
        <v>25</v>
      </c>
      <c r="S15" s="129">
        <v>30</v>
      </c>
      <c r="T15" s="129">
        <v>35</v>
      </c>
      <c r="U15" s="129">
        <v>40</v>
      </c>
      <c r="V15" s="129">
        <v>45</v>
      </c>
      <c r="W15" s="129">
        <v>50</v>
      </c>
      <c r="X15" s="129">
        <v>0</v>
      </c>
      <c r="Y15" s="129">
        <v>5</v>
      </c>
      <c r="Z15" s="129">
        <v>10</v>
      </c>
      <c r="AA15" s="129">
        <v>15</v>
      </c>
      <c r="AB15" s="129">
        <v>20</v>
      </c>
      <c r="AC15" s="129">
        <v>25</v>
      </c>
      <c r="AD15" s="129">
        <v>30</v>
      </c>
      <c r="AE15" s="129">
        <v>35</v>
      </c>
      <c r="AF15" s="129">
        <v>40</v>
      </c>
      <c r="AG15" s="129">
        <v>45</v>
      </c>
      <c r="AH15" s="129">
        <v>50</v>
      </c>
      <c r="AI15" s="129">
        <v>0</v>
      </c>
      <c r="AJ15" s="129">
        <v>5</v>
      </c>
      <c r="AK15" s="129">
        <v>10</v>
      </c>
      <c r="AL15" s="129">
        <v>15</v>
      </c>
      <c r="AM15" s="129">
        <v>20</v>
      </c>
      <c r="AN15" s="129">
        <v>25</v>
      </c>
      <c r="AO15" s="129">
        <v>30</v>
      </c>
      <c r="AP15" s="129">
        <v>35</v>
      </c>
      <c r="AQ15" s="129">
        <v>40</v>
      </c>
      <c r="AR15" s="129">
        <v>45</v>
      </c>
      <c r="AS15" s="129">
        <v>50</v>
      </c>
      <c r="AT15" s="129">
        <v>0</v>
      </c>
      <c r="AU15" s="129">
        <v>5</v>
      </c>
      <c r="AV15" s="129">
        <v>10</v>
      </c>
      <c r="AW15" s="129">
        <v>15</v>
      </c>
      <c r="AX15" s="129">
        <v>20</v>
      </c>
      <c r="AY15" s="129">
        <v>25</v>
      </c>
      <c r="AZ15" s="129">
        <v>30</v>
      </c>
      <c r="BA15" s="129">
        <v>35</v>
      </c>
      <c r="BB15" s="129">
        <v>40</v>
      </c>
      <c r="BC15" s="129">
        <v>45</v>
      </c>
      <c r="BD15" s="129">
        <v>50</v>
      </c>
      <c r="BE15" s="129">
        <v>0</v>
      </c>
      <c r="BF15" s="129">
        <v>5</v>
      </c>
      <c r="BG15" s="129">
        <v>10</v>
      </c>
      <c r="BH15" s="129">
        <v>15</v>
      </c>
      <c r="BI15" s="129">
        <v>20</v>
      </c>
      <c r="BJ15" s="129">
        <v>25</v>
      </c>
      <c r="BK15" s="129">
        <v>30</v>
      </c>
      <c r="BL15" s="129">
        <v>35</v>
      </c>
      <c r="BM15" s="129">
        <v>40</v>
      </c>
      <c r="BN15" s="129">
        <v>45</v>
      </c>
      <c r="BO15" s="130">
        <v>50</v>
      </c>
    </row>
    <row r="16" spans="1:67" x14ac:dyDescent="0.25">
      <c r="A16" s="125">
        <v>20</v>
      </c>
      <c r="B16" s="131">
        <f t="shared" ref="B16:K16" si="5">IF($B5&gt;=B$15,$C5,0)+IF($F5&gt;=B$15,$G5,0)+IF($J5&gt;=B$15,$K5,0)+IF($N5&gt;=B$15,$O5,0)+IF($R5&gt;=B$15,$S5,0)+IF($V5&gt;=B$15,$W5,0)+IF($Z5&gt;=B$15,$AA5,0)+IF($AD5&gt;=B$15,$AE5,0)</f>
        <v>206.8</v>
      </c>
      <c r="C16" s="132">
        <f t="shared" si="5"/>
        <v>116.80000000000001</v>
      </c>
      <c r="D16" s="132">
        <f t="shared" si="5"/>
        <v>116.80000000000001</v>
      </c>
      <c r="E16" s="132">
        <f t="shared" si="5"/>
        <v>69.600000000000009</v>
      </c>
      <c r="F16" s="132">
        <f t="shared" si="5"/>
        <v>69.600000000000009</v>
      </c>
      <c r="G16" s="132">
        <f t="shared" si="5"/>
        <v>0</v>
      </c>
      <c r="H16" s="132">
        <f t="shared" si="5"/>
        <v>0</v>
      </c>
      <c r="I16" s="132">
        <f t="shared" si="5"/>
        <v>0</v>
      </c>
      <c r="J16" s="132">
        <f t="shared" si="5"/>
        <v>0</v>
      </c>
      <c r="K16" s="132">
        <f t="shared" si="5"/>
        <v>0</v>
      </c>
      <c r="L16" s="132">
        <f>IF($B5&gt;=L$15,$C5,0)+IF($F5&gt;=L$15,$G5,0)+IF($J5&gt;=L$15,$K5,0)+IF($N5&gt;=L$15,$O5,0)+IF($R5&gt;=L$15,$S5,0)+IF($V5&gt;=L$15,$W5,0)+IF($Z5&gt;=L$15,$AA5,0)+IF('Mast Arm 2 Design'!$D$8="",IF($AD5&gt;=L$15,$AE5,0),0)</f>
        <v>0</v>
      </c>
      <c r="M16" s="132">
        <f t="shared" ref="M16:W16" si="6">IF($B5&gt;=M$15,$C5*($B5-M$15),0)+IF($F5&gt;=M$15,$G5*($F5-M$15),0)+IF($J5&gt;=M$15,$K5*($J5-M$15),0)+IF($N5&gt;=M$15,$O5*($N5-M$15),0)+IF($R5&gt;=M$15,$S5*($R5-M$15),0)+IF($V5&gt;=M$15,$W5*($V5-M$15),0)+IF($Z5&gt;=M$15,$AA5*($Z5-M$15),0)+IF($AD5&gt;=M$15,$AE5*($AD5-M$15),0)</f>
        <v>2355</v>
      </c>
      <c r="N16" s="132">
        <f t="shared" si="6"/>
        <v>1366</v>
      </c>
      <c r="O16" s="132">
        <f t="shared" si="6"/>
        <v>782</v>
      </c>
      <c r="P16" s="132">
        <f t="shared" si="6"/>
        <v>348</v>
      </c>
      <c r="Q16" s="132">
        <f t="shared" si="6"/>
        <v>0</v>
      </c>
      <c r="R16" s="132">
        <f t="shared" si="6"/>
        <v>0</v>
      </c>
      <c r="S16" s="132">
        <f t="shared" si="6"/>
        <v>0</v>
      </c>
      <c r="T16" s="132">
        <f t="shared" si="6"/>
        <v>0</v>
      </c>
      <c r="U16" s="132">
        <f t="shared" si="6"/>
        <v>0</v>
      </c>
      <c r="V16" s="132">
        <f t="shared" si="6"/>
        <v>0</v>
      </c>
      <c r="W16" s="132">
        <f t="shared" si="6"/>
        <v>0</v>
      </c>
      <c r="X16" s="132">
        <f t="shared" ref="X16:AH16" si="7">IF($B5&gt;=X$15,$D5,0)+IF($F5&gt;=X$15,$H5,0)+IF($J5&gt;=X$15,$L5,0)+IF($N5&gt;=X$15,$P5,0)+IF($R5&gt;=X$15,$T5,0)+IF($V5&gt;=X$15,$X5,0)+IF($Z5&gt;=X$15,$AB5,0)+IF($AD5&gt;=X$15,$AF5,0)</f>
        <v>36.319999999999993</v>
      </c>
      <c r="Y16" s="132">
        <f t="shared" si="7"/>
        <v>21.389999999999997</v>
      </c>
      <c r="Z16" s="132">
        <f t="shared" si="7"/>
        <v>21.389999999999997</v>
      </c>
      <c r="AA16" s="132">
        <f t="shared" si="7"/>
        <v>11.75</v>
      </c>
      <c r="AB16" s="132">
        <f t="shared" si="7"/>
        <v>11.75</v>
      </c>
      <c r="AC16" s="132">
        <f t="shared" si="7"/>
        <v>0</v>
      </c>
      <c r="AD16" s="132">
        <f t="shared" si="7"/>
        <v>0</v>
      </c>
      <c r="AE16" s="132">
        <f t="shared" si="7"/>
        <v>0</v>
      </c>
      <c r="AF16" s="132">
        <f t="shared" si="7"/>
        <v>0</v>
      </c>
      <c r="AG16" s="132">
        <f t="shared" si="7"/>
        <v>0</v>
      </c>
      <c r="AH16" s="132">
        <f t="shared" si="7"/>
        <v>0</v>
      </c>
      <c r="AI16" s="132">
        <f t="shared" ref="AI16:AS16" si="8">IF($B5&gt;=AI$15,$D5*($B5-AI$15),0)+IF($F5&gt;=AI$15,$H5*($F5-AI$15),0)+IF($J5&gt;=AI$15,$L5*($J5-AI$15),0)+IF($N5&gt;=AI$15,$P5*($N5-AI$15),0)+IF($R5&gt;=AI$15,$T5*($R5-AI$15),0)+IF($V5&gt;=AI$15,$X5*($V5-AI$15),0)+IF($Z5&gt;=AI$15,$AB5*($Z5-AI$15),0)+IF($AD5&gt;=AI$15,$AF5*($AD5-AI$15),0)</f>
        <v>415.92499999999995</v>
      </c>
      <c r="AJ16" s="132">
        <f t="shared" si="8"/>
        <v>241.79000000000002</v>
      </c>
      <c r="AK16" s="132">
        <f t="shared" si="8"/>
        <v>134.84</v>
      </c>
      <c r="AL16" s="132">
        <f t="shared" si="8"/>
        <v>58.75</v>
      </c>
      <c r="AM16" s="132">
        <f t="shared" si="8"/>
        <v>0</v>
      </c>
      <c r="AN16" s="132">
        <f t="shared" si="8"/>
        <v>0</v>
      </c>
      <c r="AO16" s="132">
        <f t="shared" si="8"/>
        <v>0</v>
      </c>
      <c r="AP16" s="132">
        <f t="shared" si="8"/>
        <v>0</v>
      </c>
      <c r="AQ16" s="132">
        <f t="shared" si="8"/>
        <v>0</v>
      </c>
      <c r="AR16" s="132">
        <f t="shared" si="8"/>
        <v>0</v>
      </c>
      <c r="AS16" s="132">
        <f t="shared" si="8"/>
        <v>0</v>
      </c>
      <c r="AT16" s="132">
        <f t="shared" ref="AT16:BD16" si="9">IF($B5&gt;=AT$15,$E5,0)+IF($F5&gt;=AT$15,$I5,0)+IF($J5&gt;=AT$15,$M5,0)+IF($N5&gt;=AT$15,$Q5,0)+IF($R5&gt;=AT$15,$U5,0)+IF($V5&gt;=AT$15,$Y5,0)+IF($Z5&gt;=AT$15,$AC5,0)+IF($AD5&gt;=AT$15,$AG5,0)</f>
        <v>10.95</v>
      </c>
      <c r="AU16" s="132">
        <f t="shared" si="9"/>
        <v>7.02</v>
      </c>
      <c r="AV16" s="132">
        <f t="shared" si="9"/>
        <v>7.02</v>
      </c>
      <c r="AW16" s="132">
        <f t="shared" si="9"/>
        <v>4.5199999999999996</v>
      </c>
      <c r="AX16" s="132">
        <f t="shared" si="9"/>
        <v>4.5199999999999996</v>
      </c>
      <c r="AY16" s="132">
        <f t="shared" si="9"/>
        <v>0</v>
      </c>
      <c r="AZ16" s="132">
        <f t="shared" si="9"/>
        <v>0</v>
      </c>
      <c r="BA16" s="132">
        <f t="shared" si="9"/>
        <v>0</v>
      </c>
      <c r="BB16" s="132">
        <f t="shared" si="9"/>
        <v>0</v>
      </c>
      <c r="BC16" s="132">
        <f t="shared" si="9"/>
        <v>0</v>
      </c>
      <c r="BD16" s="132">
        <f t="shared" si="9"/>
        <v>0</v>
      </c>
      <c r="BE16" s="132">
        <f t="shared" ref="BE16:BO16" si="10">IF($B5&gt;=BE$15,$E5*($B5-BE$15),0)+IF($F5&gt;=BE$15,$I5*($F5-BE$15),0)+IF($J5&gt;=BE$15,$M5*($J5-BE$15),0)+IF($N5&gt;=BE$15,$Q5*($N5-BE$15),0)+IF($R5&gt;=BE$15,$U5*($R5-BE$15),0)+IF($V5&gt;=BE$15,$Y5*($V5-BE$15),0)+IF($Z5&gt;=BE$15,$AC5*($Z5-BE$15),0)+IF($AD5&gt;=BE$15,$AG5*($AD5-BE$15),0)</f>
        <v>136.14499999999998</v>
      </c>
      <c r="BF16" s="132">
        <f t="shared" si="10"/>
        <v>83.359999999999985</v>
      </c>
      <c r="BG16" s="132">
        <f t="shared" si="10"/>
        <v>48.260000000000005</v>
      </c>
      <c r="BH16" s="132">
        <f t="shared" si="10"/>
        <v>22.6</v>
      </c>
      <c r="BI16" s="132">
        <f t="shared" si="10"/>
        <v>0</v>
      </c>
      <c r="BJ16" s="132">
        <f t="shared" si="10"/>
        <v>0</v>
      </c>
      <c r="BK16" s="132">
        <f t="shared" si="10"/>
        <v>0</v>
      </c>
      <c r="BL16" s="132">
        <f t="shared" si="10"/>
        <v>0</v>
      </c>
      <c r="BM16" s="132">
        <f t="shared" si="10"/>
        <v>0</v>
      </c>
      <c r="BN16" s="132">
        <f t="shared" si="10"/>
        <v>0</v>
      </c>
      <c r="BO16" s="133">
        <f t="shared" si="10"/>
        <v>0</v>
      </c>
    </row>
    <row r="17" spans="1:67" x14ac:dyDescent="0.25">
      <c r="A17" s="125">
        <v>25</v>
      </c>
      <c r="B17" s="134">
        <f t="shared" ref="B17:K17" si="11">IF($B6&gt;=B$15,$C6,0)+IF($F6&gt;=B$15,$G6,0)+IF($J6&gt;=B$15,$K6,0)+IF($N6&gt;=B$15,$O6,0)+IF($R6&gt;=B$15,$S6,0)+IF($V6&gt;=B$15,$W6,0)+IF($Z6&gt;=B$15,$AA6,0)+IF($AD6&gt;=B$15,$AE6,0)</f>
        <v>206.8</v>
      </c>
      <c r="C17" s="135">
        <f t="shared" si="11"/>
        <v>116.80000000000001</v>
      </c>
      <c r="D17" s="135">
        <f t="shared" si="11"/>
        <v>116.80000000000001</v>
      </c>
      <c r="E17" s="135">
        <f t="shared" si="11"/>
        <v>112.60000000000001</v>
      </c>
      <c r="F17" s="135">
        <f t="shared" si="11"/>
        <v>69.600000000000009</v>
      </c>
      <c r="G17" s="135">
        <f t="shared" si="11"/>
        <v>69.600000000000009</v>
      </c>
      <c r="H17" s="135">
        <f t="shared" si="11"/>
        <v>0</v>
      </c>
      <c r="I17" s="135">
        <f t="shared" si="11"/>
        <v>0</v>
      </c>
      <c r="J17" s="135">
        <f t="shared" si="11"/>
        <v>0</v>
      </c>
      <c r="K17" s="135">
        <f t="shared" si="11"/>
        <v>0</v>
      </c>
      <c r="L17" s="135">
        <f>IF($B6&gt;=L$15,$C6,0)+IF($F6&gt;=L$15,$G6,0)+IF($J6&gt;=L$15,$K6,0)+IF($N6&gt;=L$15,$O6,0)+IF($R6&gt;=L$15,$S6,0)+IF($V6&gt;=L$15,$W6,0)+IF($Z6&gt;=L$15,$AA6,0)+IF('Mast Arm 2 Design'!$D$8="",IF($AD6&gt;=L$15,$AE6,0),0)</f>
        <v>0</v>
      </c>
      <c r="M17" s="135">
        <f t="shared" ref="M17:W17" si="12">IF($B6&gt;=M$15,$C6*($B6-M$15),0)+IF($F6&gt;=M$15,$G6*($F6-M$15),0)+IF($J6&gt;=M$15,$K6*($J6-M$15),0)+IF($N6&gt;=M$15,$O6*($N6-M$15),0)+IF($R6&gt;=M$15,$S6*($R6-M$15),0)+IF($V6&gt;=M$15,$W6*($V6-M$15),0)+IF($Z6&gt;=M$15,$AA6*($Z6-M$15),0)+IF($AD6&gt;=M$15,$AE6*($AD6-M$15),0)</f>
        <v>2928.5</v>
      </c>
      <c r="N17" s="135">
        <f t="shared" si="12"/>
        <v>1939.5</v>
      </c>
      <c r="O17" s="135">
        <f t="shared" si="12"/>
        <v>1355.5</v>
      </c>
      <c r="P17" s="135">
        <f t="shared" si="12"/>
        <v>782</v>
      </c>
      <c r="Q17" s="135">
        <f t="shared" si="12"/>
        <v>348</v>
      </c>
      <c r="R17" s="135">
        <f t="shared" si="12"/>
        <v>0</v>
      </c>
      <c r="S17" s="135">
        <f t="shared" si="12"/>
        <v>0</v>
      </c>
      <c r="T17" s="135">
        <f t="shared" si="12"/>
        <v>0</v>
      </c>
      <c r="U17" s="135">
        <f t="shared" si="12"/>
        <v>0</v>
      </c>
      <c r="V17" s="135">
        <f t="shared" si="12"/>
        <v>0</v>
      </c>
      <c r="W17" s="135">
        <f t="shared" si="12"/>
        <v>0</v>
      </c>
      <c r="X17" s="135">
        <f t="shared" ref="X17:AH17" si="13">IF($B6&gt;=X$15,$D6,0)+IF($F6&gt;=X$15,$H6,0)+IF($J6&gt;=X$15,$L6,0)+IF($N6&gt;=X$15,$P6,0)+IF($R6&gt;=X$15,$T6,0)+IF($V6&gt;=X$15,$X6,0)+IF($Z6&gt;=X$15,$AB6,0)+IF($AD6&gt;=X$15,$AF6,0)</f>
        <v>36.319999999999993</v>
      </c>
      <c r="Y17" s="135">
        <f t="shared" si="13"/>
        <v>21.389999999999997</v>
      </c>
      <c r="Z17" s="135">
        <f t="shared" si="13"/>
        <v>21.389999999999997</v>
      </c>
      <c r="AA17" s="135">
        <f t="shared" si="13"/>
        <v>20.419999999999998</v>
      </c>
      <c r="AB17" s="135">
        <f t="shared" si="13"/>
        <v>11.75</v>
      </c>
      <c r="AC17" s="135">
        <f t="shared" si="13"/>
        <v>11.75</v>
      </c>
      <c r="AD17" s="135">
        <f t="shared" si="13"/>
        <v>0</v>
      </c>
      <c r="AE17" s="135">
        <f t="shared" si="13"/>
        <v>0</v>
      </c>
      <c r="AF17" s="135">
        <f t="shared" si="13"/>
        <v>0</v>
      </c>
      <c r="AG17" s="135">
        <f t="shared" si="13"/>
        <v>0</v>
      </c>
      <c r="AH17" s="135">
        <f t="shared" si="13"/>
        <v>0</v>
      </c>
      <c r="AI17" s="135">
        <f t="shared" ref="AI17:AS17" si="14">IF($B6&gt;=AI$15,$D6*($B6-AI$15),0)+IF($F6&gt;=AI$15,$H6*($F6-AI$15),0)+IF($J6&gt;=AI$15,$L6*($J6-AI$15),0)+IF($N6&gt;=AI$15,$P6*($N6-AI$15),0)+IF($R6&gt;=AI$15,$T6*($R6-AI$15),0)+IF($V6&gt;=AI$15,$X6*($V6-AI$15),0)+IF($Z6&gt;=AI$15,$AB6*($Z6-AI$15),0)+IF($AD6&gt;=AI$15,$AF6*($AD6-AI$15),0)</f>
        <v>520.45000000000005</v>
      </c>
      <c r="AJ17" s="135">
        <f t="shared" si="14"/>
        <v>346.31499999999994</v>
      </c>
      <c r="AK17" s="135">
        <f t="shared" si="14"/>
        <v>239.36500000000004</v>
      </c>
      <c r="AL17" s="135">
        <f t="shared" si="14"/>
        <v>134.84</v>
      </c>
      <c r="AM17" s="135">
        <f t="shared" si="14"/>
        <v>58.75</v>
      </c>
      <c r="AN17" s="135">
        <f t="shared" si="14"/>
        <v>0</v>
      </c>
      <c r="AO17" s="135">
        <f t="shared" si="14"/>
        <v>0</v>
      </c>
      <c r="AP17" s="135">
        <f t="shared" si="14"/>
        <v>0</v>
      </c>
      <c r="AQ17" s="135">
        <f t="shared" si="14"/>
        <v>0</v>
      </c>
      <c r="AR17" s="135">
        <f t="shared" si="14"/>
        <v>0</v>
      </c>
      <c r="AS17" s="135">
        <f t="shared" si="14"/>
        <v>0</v>
      </c>
      <c r="AT17" s="135">
        <f t="shared" ref="AT17:BD17" si="15">IF($B6&gt;=AT$15,$E6,0)+IF($F6&gt;=AT$15,$I6,0)+IF($J6&gt;=AT$15,$M6,0)+IF($N6&gt;=AT$15,$Q6,0)+IF($R6&gt;=AT$15,$U6,0)+IF($V6&gt;=AT$15,$Y6,0)+IF($Z6&gt;=AT$15,$AC6,0)+IF($AD6&gt;=AT$15,$AG6,0)</f>
        <v>10.95</v>
      </c>
      <c r="AU17" s="135">
        <f t="shared" si="15"/>
        <v>7.02</v>
      </c>
      <c r="AV17" s="135">
        <f t="shared" si="15"/>
        <v>7.02</v>
      </c>
      <c r="AW17" s="135">
        <f t="shared" si="15"/>
        <v>6.05</v>
      </c>
      <c r="AX17" s="135">
        <f t="shared" si="15"/>
        <v>4.5199999999999996</v>
      </c>
      <c r="AY17" s="135">
        <f t="shared" si="15"/>
        <v>4.5199999999999996</v>
      </c>
      <c r="AZ17" s="135">
        <f t="shared" si="15"/>
        <v>0</v>
      </c>
      <c r="BA17" s="135">
        <f t="shared" si="15"/>
        <v>0</v>
      </c>
      <c r="BB17" s="135">
        <f t="shared" si="15"/>
        <v>0</v>
      </c>
      <c r="BC17" s="135">
        <f t="shared" si="15"/>
        <v>0</v>
      </c>
      <c r="BD17" s="135">
        <f t="shared" si="15"/>
        <v>0</v>
      </c>
      <c r="BE17" s="135">
        <f t="shared" ref="BE17:BO17" si="16">IF($B6&gt;=BE$15,$E6*($B6-BE$15),0)+IF($F6&gt;=BE$15,$I6*($F6-BE$15),0)+IF($J6&gt;=BE$15,$M6*($J6-BE$15),0)+IF($N6&gt;=BE$15,$Q6*($N6-BE$15),0)+IF($R6&gt;=BE$15,$U6*($R6-BE$15),0)+IF($V6&gt;=BE$15,$Y6*($V6-BE$15),0)+IF($Z6&gt;=BE$15,$AC6*($Z6-BE$15),0)+IF($AD6&gt;=BE$15,$AG6*($AD6-BE$15),0)</f>
        <v>168.82</v>
      </c>
      <c r="BF17" s="135">
        <f t="shared" si="16"/>
        <v>116.035</v>
      </c>
      <c r="BG17" s="135">
        <f t="shared" si="16"/>
        <v>80.934999999999988</v>
      </c>
      <c r="BH17" s="135">
        <f t="shared" si="16"/>
        <v>48.260000000000005</v>
      </c>
      <c r="BI17" s="135">
        <f t="shared" si="16"/>
        <v>22.6</v>
      </c>
      <c r="BJ17" s="135">
        <f t="shared" si="16"/>
        <v>0</v>
      </c>
      <c r="BK17" s="135">
        <f t="shared" si="16"/>
        <v>0</v>
      </c>
      <c r="BL17" s="135">
        <f t="shared" si="16"/>
        <v>0</v>
      </c>
      <c r="BM17" s="135">
        <f t="shared" si="16"/>
        <v>0</v>
      </c>
      <c r="BN17" s="135">
        <f t="shared" si="16"/>
        <v>0</v>
      </c>
      <c r="BO17" s="136">
        <f t="shared" si="16"/>
        <v>0</v>
      </c>
    </row>
    <row r="18" spans="1:67" x14ac:dyDescent="0.25">
      <c r="A18" s="125">
        <v>30</v>
      </c>
      <c r="B18" s="134">
        <f t="shared" ref="B18:K18" si="17">IF($B7&gt;=B$15,$C7,0)+IF($F7&gt;=B$15,$G7,0)+IF($J7&gt;=B$15,$K7,0)+IF($N7&gt;=B$15,$O7,0)+IF($R7&gt;=B$15,$S7,0)+IF($V7&gt;=B$15,$W7,0)+IF($Z7&gt;=B$15,$AA7,0)+IF($AD7&gt;=B$15,$AE7,0)</f>
        <v>206.8</v>
      </c>
      <c r="C18" s="135">
        <f t="shared" si="17"/>
        <v>116.80000000000001</v>
      </c>
      <c r="D18" s="135">
        <f t="shared" si="17"/>
        <v>116.80000000000001</v>
      </c>
      <c r="E18" s="135">
        <f t="shared" si="17"/>
        <v>116.80000000000001</v>
      </c>
      <c r="F18" s="135">
        <f t="shared" si="17"/>
        <v>112.60000000000001</v>
      </c>
      <c r="G18" s="135">
        <f t="shared" si="17"/>
        <v>69.600000000000009</v>
      </c>
      <c r="H18" s="135">
        <f t="shared" si="17"/>
        <v>69.600000000000009</v>
      </c>
      <c r="I18" s="135">
        <f t="shared" si="17"/>
        <v>0</v>
      </c>
      <c r="J18" s="135">
        <f t="shared" si="17"/>
        <v>0</v>
      </c>
      <c r="K18" s="135">
        <f t="shared" si="17"/>
        <v>0</v>
      </c>
      <c r="L18" s="135">
        <f>IF($B7&gt;=L$15,$C7,0)+IF($F7&gt;=L$15,$G7,0)+IF($J7&gt;=L$15,$K7,0)+IF($N7&gt;=L$15,$O7,0)+IF($R7&gt;=L$15,$S7,0)+IF($V7&gt;=L$15,$W7,0)+IF($Z7&gt;=L$15,$AA7,0)+IF('Mast Arm 2 Design'!$D$8="",IF($AD7&gt;=L$15,$AE7,0),0)</f>
        <v>0</v>
      </c>
      <c r="M18" s="135">
        <f t="shared" ref="M18:W18" si="18">IF($B7&gt;=M$15,$C7*($B7-M$15),0)+IF($F7&gt;=M$15,$G7*($F7-M$15),0)+IF($J7&gt;=M$15,$K7*($J7-M$15),0)+IF($N7&gt;=M$15,$O7*($N7-M$15),0)+IF($R7&gt;=M$15,$S7*($R7-M$15),0)+IF($V7&gt;=M$15,$W7*($V7-M$15),0)+IF($Z7&gt;=M$15,$AA7*($Z7-M$15),0)+IF($AD7&gt;=M$15,$AE7*($AD7-M$15),0)</f>
        <v>3502</v>
      </c>
      <c r="N18" s="135">
        <f t="shared" si="18"/>
        <v>2513</v>
      </c>
      <c r="O18" s="135">
        <f t="shared" si="18"/>
        <v>1929</v>
      </c>
      <c r="P18" s="135">
        <f t="shared" si="18"/>
        <v>1345</v>
      </c>
      <c r="Q18" s="135">
        <f t="shared" si="18"/>
        <v>782</v>
      </c>
      <c r="R18" s="135">
        <f t="shared" si="18"/>
        <v>348</v>
      </c>
      <c r="S18" s="135">
        <f t="shared" si="18"/>
        <v>0</v>
      </c>
      <c r="T18" s="135">
        <f t="shared" si="18"/>
        <v>0</v>
      </c>
      <c r="U18" s="135">
        <f t="shared" si="18"/>
        <v>0</v>
      </c>
      <c r="V18" s="135">
        <f t="shared" si="18"/>
        <v>0</v>
      </c>
      <c r="W18" s="135">
        <f t="shared" si="18"/>
        <v>0</v>
      </c>
      <c r="X18" s="135">
        <f t="shared" ref="X18:AH18" si="19">IF($B7&gt;=X$15,$D7,0)+IF($F7&gt;=X$15,$H7,0)+IF($J7&gt;=X$15,$L7,0)+IF($N7&gt;=X$15,$P7,0)+IF($R7&gt;=X$15,$T7,0)+IF($V7&gt;=X$15,$X7,0)+IF($Z7&gt;=X$15,$AB7,0)+IF($AD7&gt;=X$15,$AF7,0)</f>
        <v>36.319999999999993</v>
      </c>
      <c r="Y18" s="135">
        <f t="shared" si="19"/>
        <v>21.389999999999997</v>
      </c>
      <c r="Z18" s="135">
        <f t="shared" si="19"/>
        <v>21.389999999999997</v>
      </c>
      <c r="AA18" s="135">
        <f t="shared" si="19"/>
        <v>21.389999999999997</v>
      </c>
      <c r="AB18" s="135">
        <f t="shared" si="19"/>
        <v>20.419999999999998</v>
      </c>
      <c r="AC18" s="135">
        <f t="shared" si="19"/>
        <v>11.75</v>
      </c>
      <c r="AD18" s="135">
        <f t="shared" si="19"/>
        <v>11.75</v>
      </c>
      <c r="AE18" s="135">
        <f t="shared" si="19"/>
        <v>0</v>
      </c>
      <c r="AF18" s="135">
        <f t="shared" si="19"/>
        <v>0</v>
      </c>
      <c r="AG18" s="135">
        <f t="shared" si="19"/>
        <v>0</v>
      </c>
      <c r="AH18" s="135">
        <f t="shared" si="19"/>
        <v>0</v>
      </c>
      <c r="AI18" s="135">
        <f t="shared" ref="AI18:AS18" si="20">IF($B7&gt;=AI$15,$D7*($B7-AI$15),0)+IF($F7&gt;=AI$15,$H7*($F7-AI$15),0)+IF($J7&gt;=AI$15,$L7*($J7-AI$15),0)+IF($N7&gt;=AI$15,$P7*($N7-AI$15),0)+IF($R7&gt;=AI$15,$T7*($R7-AI$15),0)+IF($V7&gt;=AI$15,$X7*($V7-AI$15),0)+IF($Z7&gt;=AI$15,$AB7*($Z7-AI$15),0)+IF($AD7&gt;=AI$15,$AF7*($AD7-AI$15),0)</f>
        <v>624.97499999999991</v>
      </c>
      <c r="AJ18" s="135">
        <f t="shared" si="20"/>
        <v>450.84</v>
      </c>
      <c r="AK18" s="135">
        <f t="shared" si="20"/>
        <v>343.89</v>
      </c>
      <c r="AL18" s="135">
        <f t="shared" si="20"/>
        <v>236.94000000000003</v>
      </c>
      <c r="AM18" s="135">
        <f t="shared" si="20"/>
        <v>134.84</v>
      </c>
      <c r="AN18" s="135">
        <f t="shared" si="20"/>
        <v>58.75</v>
      </c>
      <c r="AO18" s="135">
        <f t="shared" si="20"/>
        <v>0</v>
      </c>
      <c r="AP18" s="135">
        <f t="shared" si="20"/>
        <v>0</v>
      </c>
      <c r="AQ18" s="135">
        <f t="shared" si="20"/>
        <v>0</v>
      </c>
      <c r="AR18" s="135">
        <f t="shared" si="20"/>
        <v>0</v>
      </c>
      <c r="AS18" s="135">
        <f t="shared" si="20"/>
        <v>0</v>
      </c>
      <c r="AT18" s="135">
        <f t="shared" ref="AT18:BD18" si="21">IF($B7&gt;=AT$15,$E7,0)+IF($F7&gt;=AT$15,$I7,0)+IF($J7&gt;=AT$15,$M7,0)+IF($N7&gt;=AT$15,$Q7,0)+IF($R7&gt;=AT$15,$U7,0)+IF($V7&gt;=AT$15,$Y7,0)+IF($Z7&gt;=AT$15,$AC7,0)+IF($AD7&gt;=AT$15,$AG7,0)</f>
        <v>10.95</v>
      </c>
      <c r="AU18" s="135">
        <f t="shared" si="21"/>
        <v>7.02</v>
      </c>
      <c r="AV18" s="135">
        <f t="shared" si="21"/>
        <v>7.02</v>
      </c>
      <c r="AW18" s="135">
        <f t="shared" si="21"/>
        <v>7.02</v>
      </c>
      <c r="AX18" s="135">
        <f t="shared" si="21"/>
        <v>6.05</v>
      </c>
      <c r="AY18" s="135">
        <f t="shared" si="21"/>
        <v>4.5199999999999996</v>
      </c>
      <c r="AZ18" s="135">
        <f t="shared" si="21"/>
        <v>4.5199999999999996</v>
      </c>
      <c r="BA18" s="135">
        <f t="shared" si="21"/>
        <v>0</v>
      </c>
      <c r="BB18" s="135">
        <f t="shared" si="21"/>
        <v>0</v>
      </c>
      <c r="BC18" s="135">
        <f t="shared" si="21"/>
        <v>0</v>
      </c>
      <c r="BD18" s="135">
        <f t="shared" si="21"/>
        <v>0</v>
      </c>
      <c r="BE18" s="135">
        <f t="shared" ref="BE18:BO18" si="22">IF($B7&gt;=BE$15,$E7*($B7-BE$15),0)+IF($F7&gt;=BE$15,$I7*($F7-BE$15),0)+IF($J7&gt;=BE$15,$M7*($J7-BE$15),0)+IF($N7&gt;=BE$15,$Q7*($N7-BE$15),0)+IF($R7&gt;=BE$15,$U7*($R7-BE$15),0)+IF($V7&gt;=BE$15,$Y7*($V7-BE$15),0)+IF($Z7&gt;=BE$15,$AC7*($Z7-BE$15),0)+IF($AD7&gt;=BE$15,$AG7*($AD7-BE$15),0)</f>
        <v>201.495</v>
      </c>
      <c r="BF18" s="135">
        <f t="shared" si="22"/>
        <v>148.70999999999998</v>
      </c>
      <c r="BG18" s="135">
        <f t="shared" si="22"/>
        <v>113.60999999999999</v>
      </c>
      <c r="BH18" s="135">
        <f t="shared" si="22"/>
        <v>78.509999999999991</v>
      </c>
      <c r="BI18" s="135">
        <f t="shared" si="22"/>
        <v>48.260000000000005</v>
      </c>
      <c r="BJ18" s="135">
        <f t="shared" si="22"/>
        <v>22.6</v>
      </c>
      <c r="BK18" s="135">
        <f t="shared" si="22"/>
        <v>0</v>
      </c>
      <c r="BL18" s="135">
        <f t="shared" si="22"/>
        <v>0</v>
      </c>
      <c r="BM18" s="135">
        <f t="shared" si="22"/>
        <v>0</v>
      </c>
      <c r="BN18" s="135">
        <f t="shared" si="22"/>
        <v>0</v>
      </c>
      <c r="BO18" s="136">
        <f t="shared" si="22"/>
        <v>0</v>
      </c>
    </row>
    <row r="19" spans="1:67" x14ac:dyDescent="0.25">
      <c r="A19" s="126">
        <v>35</v>
      </c>
      <c r="B19" s="134">
        <f t="shared" ref="B19:K19" si="23">IF($B8&gt;=B$15,$C8,0)+IF($F8&gt;=B$15,$G8,0)+IF($J8&gt;=B$15,$K8,0)+IF($N8&gt;=B$15,$O8,0)+IF($R8&gt;=B$15,$S8,0)+IF($V8&gt;=B$15,$W8,0)+IF($Z8&gt;=B$15,$AA8,0)+IF($AD8&gt;=B$15,$AE8,0)</f>
        <v>339.79999999999995</v>
      </c>
      <c r="C19" s="135">
        <f t="shared" si="23"/>
        <v>249.79999999999998</v>
      </c>
      <c r="D19" s="135">
        <f t="shared" si="23"/>
        <v>249.79999999999998</v>
      </c>
      <c r="E19" s="135">
        <f t="shared" si="23"/>
        <v>249.79999999999998</v>
      </c>
      <c r="F19" s="135">
        <f t="shared" si="23"/>
        <v>170.60000000000002</v>
      </c>
      <c r="G19" s="135">
        <f t="shared" si="23"/>
        <v>170.60000000000002</v>
      </c>
      <c r="H19" s="135">
        <f t="shared" si="23"/>
        <v>95.6</v>
      </c>
      <c r="I19" s="135">
        <f t="shared" si="23"/>
        <v>95.6</v>
      </c>
      <c r="J19" s="135">
        <f t="shared" si="23"/>
        <v>0</v>
      </c>
      <c r="K19" s="135">
        <f t="shared" si="23"/>
        <v>0</v>
      </c>
      <c r="L19" s="135">
        <f>IF($B8&gt;=L$15,$C8,0)+IF($F8&gt;=L$15,$G8,0)+IF($J8&gt;=L$15,$K8,0)+IF($N8&gt;=L$15,$O8,0)+IF($R8&gt;=L$15,$S8,0)+IF($V8&gt;=L$15,$W8,0)+IF($Z8&gt;=L$15,$AA8,0)+IF('Mast Arm 2 Design'!$D$8="",IF($AD8&gt;=L$15,$AE8,0),0)</f>
        <v>0</v>
      </c>
      <c r="M19" s="135">
        <f t="shared" ref="M19:W19" si="24">IF($B8&gt;=M$15,$C8*($B8-M$15),0)+IF($F8&gt;=M$15,$G8*($F8-M$15),0)+IF($J8&gt;=M$15,$K8*($J8-M$15),0)+IF($N8&gt;=M$15,$O8*($N8-M$15),0)+IF($R8&gt;=M$15,$S8*($R8-M$15),0)+IF($V8&gt;=M$15,$W8*($V8-M$15),0)+IF($Z8&gt;=M$15,$AA8*($Z8-M$15),0)+IF($AD8&gt;=M$15,$AE8*($AD8-M$15),0)</f>
        <v>7274.5</v>
      </c>
      <c r="N19" s="135">
        <f t="shared" si="24"/>
        <v>5620.5</v>
      </c>
      <c r="O19" s="135">
        <f t="shared" si="24"/>
        <v>4371.5</v>
      </c>
      <c r="P19" s="135">
        <f t="shared" si="24"/>
        <v>3122.5</v>
      </c>
      <c r="Q19" s="135">
        <f t="shared" si="24"/>
        <v>1959</v>
      </c>
      <c r="R19" s="135">
        <f t="shared" si="24"/>
        <v>1106</v>
      </c>
      <c r="S19" s="135">
        <f t="shared" si="24"/>
        <v>478</v>
      </c>
      <c r="T19" s="135">
        <f t="shared" si="24"/>
        <v>0</v>
      </c>
      <c r="U19" s="135">
        <f t="shared" si="24"/>
        <v>0</v>
      </c>
      <c r="V19" s="135">
        <f t="shared" si="24"/>
        <v>0</v>
      </c>
      <c r="W19" s="135">
        <f t="shared" si="24"/>
        <v>0</v>
      </c>
      <c r="X19" s="135">
        <f t="shared" ref="X19:AH19" si="25">IF($B8&gt;=X$15,$D8,0)+IF($F8&gt;=X$15,$H8,0)+IF($J8&gt;=X$15,$L8,0)+IF($N8&gt;=X$15,$P8,0)+IF($R8&gt;=X$15,$T8,0)+IF($V8&gt;=X$15,$X8,0)+IF($Z8&gt;=X$15,$AB8,0)+IF($AD8&gt;=X$15,$AF8,0)</f>
        <v>54.539999999999992</v>
      </c>
      <c r="Y19" s="135">
        <f t="shared" si="25"/>
        <v>39.61</v>
      </c>
      <c r="Z19" s="135">
        <f t="shared" si="25"/>
        <v>39.61</v>
      </c>
      <c r="AA19" s="135">
        <f t="shared" si="25"/>
        <v>39.61</v>
      </c>
      <c r="AB19" s="135">
        <f t="shared" si="25"/>
        <v>27.72</v>
      </c>
      <c r="AC19" s="135">
        <f t="shared" si="25"/>
        <v>27.72</v>
      </c>
      <c r="AD19" s="135">
        <f t="shared" si="25"/>
        <v>16.8</v>
      </c>
      <c r="AE19" s="135">
        <f t="shared" si="25"/>
        <v>16.8</v>
      </c>
      <c r="AF19" s="135">
        <f t="shared" si="25"/>
        <v>0</v>
      </c>
      <c r="AG19" s="135">
        <f t="shared" si="25"/>
        <v>0</v>
      </c>
      <c r="AH19" s="135">
        <f t="shared" si="25"/>
        <v>0</v>
      </c>
      <c r="AI19" s="135">
        <f t="shared" ref="AI19:AS19" si="26">IF($B8&gt;=AI$15,$D8*($B8-AI$15),0)+IF($F8&gt;=AI$15,$H8*($F8-AI$15),0)+IF($J8&gt;=AI$15,$L8*($J8-AI$15),0)+IF($N8&gt;=AI$15,$P8*($N8-AI$15),0)+IF($R8&gt;=AI$15,$T8*($R8-AI$15),0)+IF($V8&gt;=AI$15,$X8*($V8-AI$15),0)+IF($Z8&gt;=AI$15,$AB8*($Z8-AI$15),0)+IF($AD8&gt;=AI$15,$AF8*($AD8-AI$15),0)</f>
        <v>1174.48</v>
      </c>
      <c r="AJ19" s="135">
        <f t="shared" si="26"/>
        <v>909.24500000000012</v>
      </c>
      <c r="AK19" s="135">
        <f t="shared" si="26"/>
        <v>711.19499999999994</v>
      </c>
      <c r="AL19" s="135">
        <f t="shared" si="26"/>
        <v>513.14499999999998</v>
      </c>
      <c r="AM19" s="135">
        <f t="shared" si="26"/>
        <v>328.44</v>
      </c>
      <c r="AN19" s="135">
        <f t="shared" si="26"/>
        <v>189.84000000000003</v>
      </c>
      <c r="AO19" s="135">
        <f t="shared" si="26"/>
        <v>84</v>
      </c>
      <c r="AP19" s="135">
        <f t="shared" si="26"/>
        <v>0</v>
      </c>
      <c r="AQ19" s="135">
        <f t="shared" si="26"/>
        <v>0</v>
      </c>
      <c r="AR19" s="135">
        <f t="shared" si="26"/>
        <v>0</v>
      </c>
      <c r="AS19" s="135">
        <f t="shared" si="26"/>
        <v>0</v>
      </c>
      <c r="AT19" s="135">
        <f t="shared" ref="AT19:BD19" si="27">IF($B8&gt;=AT$15,$E8,0)+IF($F8&gt;=AT$15,$I8,0)+IF($J8&gt;=AT$15,$M8,0)+IF($N8&gt;=AT$15,$Q8,0)+IF($R8&gt;=AT$15,$U8,0)+IF($V8&gt;=AT$15,$Y8,0)+IF($Z8&gt;=AT$15,$AC8,0)+IF($AD8&gt;=AT$15,$AG8,0)</f>
        <v>15.409999999999998</v>
      </c>
      <c r="AU19" s="135">
        <f t="shared" si="27"/>
        <v>11.479999999999999</v>
      </c>
      <c r="AV19" s="135">
        <f t="shared" si="27"/>
        <v>11.479999999999999</v>
      </c>
      <c r="AW19" s="135">
        <f t="shared" si="27"/>
        <v>11.479999999999999</v>
      </c>
      <c r="AX19" s="135">
        <f t="shared" si="27"/>
        <v>8.26</v>
      </c>
      <c r="AY19" s="135">
        <f t="shared" si="27"/>
        <v>8.26</v>
      </c>
      <c r="AZ19" s="135">
        <f t="shared" si="27"/>
        <v>6.01</v>
      </c>
      <c r="BA19" s="135">
        <f t="shared" si="27"/>
        <v>6.01</v>
      </c>
      <c r="BB19" s="135">
        <f t="shared" si="27"/>
        <v>0</v>
      </c>
      <c r="BC19" s="135">
        <f t="shared" si="27"/>
        <v>0</v>
      </c>
      <c r="BD19" s="135">
        <f t="shared" si="27"/>
        <v>0</v>
      </c>
      <c r="BE19" s="135">
        <f t="shared" ref="BE19:BO19" si="28">IF($B8&gt;=BE$15,$E8*($B8-BE$15),0)+IF($F8&gt;=BE$15,$I8*($F8-BE$15),0)+IF($J8&gt;=BE$15,$M8*($J8-BE$15),0)+IF($N8&gt;=BE$15,$Q8*($N8-BE$15),0)+IF($R8&gt;=BE$15,$U8*($R8-BE$15),0)+IF($V8&gt;=BE$15,$Y8*($V8-BE$15),0)+IF($Z8&gt;=BE$15,$AC8*($Z8-BE$15),0)+IF($AD8&gt;=BE$15,$AG8*($AD8-BE$15),0)</f>
        <v>348.51</v>
      </c>
      <c r="BF19" s="135">
        <f t="shared" si="28"/>
        <v>273.42499999999995</v>
      </c>
      <c r="BG19" s="135">
        <f t="shared" si="28"/>
        <v>216.02500000000001</v>
      </c>
      <c r="BH19" s="135">
        <f t="shared" si="28"/>
        <v>158.625</v>
      </c>
      <c r="BI19" s="135">
        <f t="shared" si="28"/>
        <v>105.89999999999999</v>
      </c>
      <c r="BJ19" s="135">
        <f t="shared" si="28"/>
        <v>64.599999999999994</v>
      </c>
      <c r="BK19" s="135">
        <f t="shared" si="28"/>
        <v>30.049999999999997</v>
      </c>
      <c r="BL19" s="135">
        <f t="shared" si="28"/>
        <v>0</v>
      </c>
      <c r="BM19" s="135">
        <f t="shared" si="28"/>
        <v>0</v>
      </c>
      <c r="BN19" s="135">
        <f t="shared" si="28"/>
        <v>0</v>
      </c>
      <c r="BO19" s="136">
        <f t="shared" si="28"/>
        <v>0</v>
      </c>
    </row>
    <row r="20" spans="1:67" x14ac:dyDescent="0.25">
      <c r="A20" s="126">
        <v>40</v>
      </c>
      <c r="B20" s="134">
        <f t="shared" ref="B20:K20" si="29">IF($B9&gt;=B$15,$C9,0)+IF($F9&gt;=B$15,$G9,0)+IF($J9&gt;=B$15,$K9,0)+IF($N9&gt;=B$15,$O9,0)+IF($R9&gt;=B$15,$S9,0)+IF($V9&gt;=B$15,$W9,0)+IF($Z9&gt;=B$15,$AA9,0)+IF($AD9&gt;=B$15,$AE9,0)</f>
        <v>339.79999999999995</v>
      </c>
      <c r="C20" s="135">
        <f t="shared" si="29"/>
        <v>249.79999999999998</v>
      </c>
      <c r="D20" s="135">
        <f t="shared" si="29"/>
        <v>249.79999999999998</v>
      </c>
      <c r="E20" s="135">
        <f t="shared" si="29"/>
        <v>249.79999999999998</v>
      </c>
      <c r="F20" s="135">
        <f t="shared" si="29"/>
        <v>249.79999999999998</v>
      </c>
      <c r="G20" s="135">
        <f t="shared" si="29"/>
        <v>170.60000000000002</v>
      </c>
      <c r="H20" s="135">
        <f t="shared" si="29"/>
        <v>170.60000000000002</v>
      </c>
      <c r="I20" s="135">
        <f t="shared" si="29"/>
        <v>95.6</v>
      </c>
      <c r="J20" s="135">
        <f t="shared" si="29"/>
        <v>95.6</v>
      </c>
      <c r="K20" s="135">
        <f t="shared" si="29"/>
        <v>0</v>
      </c>
      <c r="L20" s="135">
        <f>IF($B9&gt;=L$15,$C9,0)+IF($F9&gt;=L$15,$G9,0)+IF($J9&gt;=L$15,$K9,0)+IF($N9&gt;=L$15,$O9,0)+IF($R9&gt;=L$15,$S9,0)+IF($V9&gt;=L$15,$W9,0)+IF($Z9&gt;=L$15,$AA9,0)+IF('Mast Arm 2 Design'!$D$8="",IF($AD9&gt;=L$15,$AE9,0),0)</f>
        <v>0</v>
      </c>
      <c r="M20" s="135">
        <f t="shared" ref="M20:W20" si="30">IF($B9&gt;=M$15,$C9*($B9-M$15),0)+IF($F9&gt;=M$15,$G9*($F9-M$15),0)+IF($J9&gt;=M$15,$K9*($J9-M$15),0)+IF($N9&gt;=M$15,$O9*($N9-M$15),0)+IF($R9&gt;=M$15,$S9*($R9-M$15),0)+IF($V9&gt;=M$15,$W9*($V9-M$15),0)+IF($Z9&gt;=M$15,$AA9*($Z9-M$15),0)+IF($AD9&gt;=M$15,$AE9*($AD9-M$15),0)</f>
        <v>8513</v>
      </c>
      <c r="N20" s="135">
        <f t="shared" si="30"/>
        <v>6859</v>
      </c>
      <c r="O20" s="135">
        <f t="shared" si="30"/>
        <v>5610</v>
      </c>
      <c r="P20" s="135">
        <f t="shared" si="30"/>
        <v>4361</v>
      </c>
      <c r="Q20" s="135">
        <f t="shared" si="30"/>
        <v>3112</v>
      </c>
      <c r="R20" s="135">
        <f t="shared" si="30"/>
        <v>1959</v>
      </c>
      <c r="S20" s="135">
        <f t="shared" si="30"/>
        <v>1106</v>
      </c>
      <c r="T20" s="135">
        <f t="shared" si="30"/>
        <v>478</v>
      </c>
      <c r="U20" s="135">
        <f t="shared" si="30"/>
        <v>0</v>
      </c>
      <c r="V20" s="135">
        <f t="shared" si="30"/>
        <v>0</v>
      </c>
      <c r="W20" s="135">
        <f t="shared" si="30"/>
        <v>0</v>
      </c>
      <c r="X20" s="135">
        <f t="shared" ref="X20:AH20" si="31">IF($B9&gt;=X$15,$D9,0)+IF($F9&gt;=X$15,$H9,0)+IF($J9&gt;=X$15,$L9,0)+IF($N9&gt;=X$15,$P9,0)+IF($R9&gt;=X$15,$T9,0)+IF($V9&gt;=X$15,$X9,0)+IF($Z9&gt;=X$15,$AB9,0)+IF($AD9&gt;=X$15,$AF9,0)</f>
        <v>54.539999999999992</v>
      </c>
      <c r="Y20" s="135">
        <f t="shared" si="31"/>
        <v>39.61</v>
      </c>
      <c r="Z20" s="135">
        <f t="shared" si="31"/>
        <v>39.61</v>
      </c>
      <c r="AA20" s="135">
        <f t="shared" si="31"/>
        <v>39.61</v>
      </c>
      <c r="AB20" s="135">
        <f t="shared" si="31"/>
        <v>39.61</v>
      </c>
      <c r="AC20" s="135">
        <f t="shared" si="31"/>
        <v>27.72</v>
      </c>
      <c r="AD20" s="135">
        <f t="shared" si="31"/>
        <v>27.72</v>
      </c>
      <c r="AE20" s="135">
        <f t="shared" si="31"/>
        <v>16.8</v>
      </c>
      <c r="AF20" s="135">
        <f t="shared" si="31"/>
        <v>16.8</v>
      </c>
      <c r="AG20" s="135">
        <f t="shared" si="31"/>
        <v>0</v>
      </c>
      <c r="AH20" s="135">
        <f t="shared" si="31"/>
        <v>0</v>
      </c>
      <c r="AI20" s="135">
        <f t="shared" ref="AI20:AS20" si="32">IF($B9&gt;=AI$15,$D9*($B9-AI$15),0)+IF($F9&gt;=AI$15,$H9*($F9-AI$15),0)+IF($J9&gt;=AI$15,$L9*($J9-AI$15),0)+IF($N9&gt;=AI$15,$P9*($N9-AI$15),0)+IF($R9&gt;=AI$15,$T9*($R9-AI$15),0)+IF($V9&gt;=AI$15,$X9*($V9-AI$15),0)+IF($Z9&gt;=AI$15,$AB9*($Z9-AI$15),0)+IF($AD9&gt;=AI$15,$AF9*($AD9-AI$15),0)</f>
        <v>1370.105</v>
      </c>
      <c r="AJ20" s="135">
        <f t="shared" si="32"/>
        <v>1104.8699999999999</v>
      </c>
      <c r="AK20" s="135">
        <f t="shared" si="32"/>
        <v>906.82</v>
      </c>
      <c r="AL20" s="135">
        <f t="shared" si="32"/>
        <v>708.77</v>
      </c>
      <c r="AM20" s="135">
        <f t="shared" si="32"/>
        <v>510.72</v>
      </c>
      <c r="AN20" s="135">
        <f t="shared" si="32"/>
        <v>328.44</v>
      </c>
      <c r="AO20" s="135">
        <f t="shared" si="32"/>
        <v>189.84000000000003</v>
      </c>
      <c r="AP20" s="135">
        <f t="shared" si="32"/>
        <v>84</v>
      </c>
      <c r="AQ20" s="135">
        <f t="shared" si="32"/>
        <v>0</v>
      </c>
      <c r="AR20" s="135">
        <f t="shared" si="32"/>
        <v>0</v>
      </c>
      <c r="AS20" s="135">
        <f t="shared" si="32"/>
        <v>0</v>
      </c>
      <c r="AT20" s="135">
        <f t="shared" ref="AT20:BD20" si="33">IF($B9&gt;=AT$15,$E9,0)+IF($F9&gt;=AT$15,$I9,0)+IF($J9&gt;=AT$15,$M9,0)+IF($N9&gt;=AT$15,$Q9,0)+IF($R9&gt;=AT$15,$U9,0)+IF($V9&gt;=AT$15,$Y9,0)+IF($Z9&gt;=AT$15,$AC9,0)+IF($AD9&gt;=AT$15,$AG9,0)</f>
        <v>15.409999999999998</v>
      </c>
      <c r="AU20" s="135">
        <f t="shared" si="33"/>
        <v>11.479999999999999</v>
      </c>
      <c r="AV20" s="135">
        <f t="shared" si="33"/>
        <v>11.479999999999999</v>
      </c>
      <c r="AW20" s="135">
        <f t="shared" si="33"/>
        <v>11.479999999999999</v>
      </c>
      <c r="AX20" s="135">
        <f t="shared" si="33"/>
        <v>11.479999999999999</v>
      </c>
      <c r="AY20" s="135">
        <f t="shared" si="33"/>
        <v>8.26</v>
      </c>
      <c r="AZ20" s="135">
        <f t="shared" si="33"/>
        <v>8.26</v>
      </c>
      <c r="BA20" s="135">
        <f t="shared" si="33"/>
        <v>6.01</v>
      </c>
      <c r="BB20" s="135">
        <f t="shared" si="33"/>
        <v>6.01</v>
      </c>
      <c r="BC20" s="135">
        <f t="shared" si="33"/>
        <v>0</v>
      </c>
      <c r="BD20" s="135">
        <f t="shared" si="33"/>
        <v>0</v>
      </c>
      <c r="BE20" s="135">
        <f t="shared" ref="BE20:BO20" si="34">IF($B9&gt;=BE$15,$E9*($B9-BE$15),0)+IF($F9&gt;=BE$15,$I9*($F9-BE$15),0)+IF($J9&gt;=BE$15,$M9*($J9-BE$15),0)+IF($N9&gt;=BE$15,$Q9*($N9-BE$15),0)+IF($R9&gt;=BE$15,$U9*($R9-BE$15),0)+IF($V9&gt;=BE$15,$Y9*($V9-BE$15),0)+IF($Z9&gt;=BE$15,$AC9*($Z9-BE$15),0)+IF($AD9&gt;=BE$15,$AG9*($AD9-BE$15),0)</f>
        <v>403.48500000000001</v>
      </c>
      <c r="BF20" s="135">
        <f t="shared" si="34"/>
        <v>328.4</v>
      </c>
      <c r="BG20" s="135">
        <f t="shared" si="34"/>
        <v>271</v>
      </c>
      <c r="BH20" s="135">
        <f t="shared" si="34"/>
        <v>213.6</v>
      </c>
      <c r="BI20" s="135">
        <f t="shared" si="34"/>
        <v>156.20000000000002</v>
      </c>
      <c r="BJ20" s="135">
        <f t="shared" si="34"/>
        <v>105.89999999999999</v>
      </c>
      <c r="BK20" s="135">
        <f t="shared" si="34"/>
        <v>64.599999999999994</v>
      </c>
      <c r="BL20" s="135">
        <f t="shared" si="34"/>
        <v>30.049999999999997</v>
      </c>
      <c r="BM20" s="135">
        <f t="shared" si="34"/>
        <v>0</v>
      </c>
      <c r="BN20" s="135">
        <f t="shared" si="34"/>
        <v>0</v>
      </c>
      <c r="BO20" s="136">
        <f t="shared" si="34"/>
        <v>0</v>
      </c>
    </row>
    <row r="21" spans="1:67" x14ac:dyDescent="0.25">
      <c r="A21" s="126">
        <v>45</v>
      </c>
      <c r="B21" s="134">
        <f t="shared" ref="B21:K21" si="35">IF($B10&gt;=B$15,$C10,0)+IF($F10&gt;=B$15,$G10,0)+IF($J10&gt;=B$15,$K10,0)+IF($N10&gt;=B$15,$O10,0)+IF($R10&gt;=B$15,$S10,0)+IF($V10&gt;=B$15,$W10,0)+IF($Z10&gt;=B$15,$AA10,0)+IF($AD10&gt;=B$15,$AE10,0)</f>
        <v>339.79999999999995</v>
      </c>
      <c r="C21" s="135">
        <f t="shared" si="35"/>
        <v>249.79999999999998</v>
      </c>
      <c r="D21" s="135">
        <f t="shared" si="35"/>
        <v>249.79999999999998</v>
      </c>
      <c r="E21" s="135">
        <f t="shared" si="35"/>
        <v>249.79999999999998</v>
      </c>
      <c r="F21" s="135">
        <f t="shared" si="35"/>
        <v>249.79999999999998</v>
      </c>
      <c r="G21" s="135">
        <f t="shared" si="35"/>
        <v>245.6</v>
      </c>
      <c r="H21" s="135">
        <f t="shared" si="35"/>
        <v>170.60000000000002</v>
      </c>
      <c r="I21" s="135">
        <f t="shared" si="35"/>
        <v>170.60000000000002</v>
      </c>
      <c r="J21" s="135">
        <f t="shared" si="35"/>
        <v>95.6</v>
      </c>
      <c r="K21" s="135">
        <f t="shared" si="35"/>
        <v>95.6</v>
      </c>
      <c r="L21" s="135">
        <f>IF($B10&gt;=L$15,$C10,0)+IF($F10&gt;=L$15,$G10,0)+IF($J10&gt;=L$15,$K10,0)+IF($N10&gt;=L$15,$O10,0)+IF($R10&gt;=L$15,$S10,0)+IF($V10&gt;=L$15,$W10,0)+IF($Z10&gt;=L$15,$AA10,0)+IF('Mast Arm 2 Design'!$D$8="",IF($AD10&gt;=L$15,$AE10,0),0)</f>
        <v>0</v>
      </c>
      <c r="M21" s="135">
        <f t="shared" ref="M21:W21" si="36">IF($B10&gt;=M$15,$C10*($B10-M$15),0)+IF($F10&gt;=M$15,$G10*($F10-M$15),0)+IF($J10&gt;=M$15,$K10*($J10-M$15),0)+IF($N10&gt;=M$15,$O10*($N10-M$15),0)+IF($R10&gt;=M$15,$S10*($R10-M$15),0)+IF($V10&gt;=M$15,$W10*($V10-M$15),0)+IF($Z10&gt;=M$15,$AA10*($Z10-M$15),0)+IF($AD10&gt;=M$15,$AE10*($AD10-M$15),0)</f>
        <v>9751.5</v>
      </c>
      <c r="N21" s="135">
        <f t="shared" si="36"/>
        <v>8097.5</v>
      </c>
      <c r="O21" s="135">
        <f t="shared" si="36"/>
        <v>6848.5</v>
      </c>
      <c r="P21" s="135">
        <f t="shared" si="36"/>
        <v>5599.5</v>
      </c>
      <c r="Q21" s="135">
        <f t="shared" si="36"/>
        <v>4350.5</v>
      </c>
      <c r="R21" s="135">
        <f t="shared" si="36"/>
        <v>3112</v>
      </c>
      <c r="S21" s="135">
        <f t="shared" si="36"/>
        <v>1959</v>
      </c>
      <c r="T21" s="135">
        <f t="shared" si="36"/>
        <v>1106</v>
      </c>
      <c r="U21" s="135">
        <f t="shared" si="36"/>
        <v>478</v>
      </c>
      <c r="V21" s="135">
        <f t="shared" si="36"/>
        <v>0</v>
      </c>
      <c r="W21" s="135">
        <f t="shared" si="36"/>
        <v>0</v>
      </c>
      <c r="X21" s="135">
        <f t="shared" ref="X21:AH21" si="37">IF($B10&gt;=X$15,$D10,0)+IF($F10&gt;=X$15,$H10,0)+IF($J10&gt;=X$15,$L10,0)+IF($N10&gt;=X$15,$P10,0)+IF($R10&gt;=X$15,$T10,0)+IF($V10&gt;=X$15,$X10,0)+IF($Z10&gt;=X$15,$AB10,0)+IF($AD10&gt;=X$15,$AF10,0)</f>
        <v>54.539999999999992</v>
      </c>
      <c r="Y21" s="135">
        <f t="shared" si="37"/>
        <v>39.61</v>
      </c>
      <c r="Z21" s="135">
        <f t="shared" si="37"/>
        <v>39.61</v>
      </c>
      <c r="AA21" s="135">
        <f t="shared" si="37"/>
        <v>39.61</v>
      </c>
      <c r="AB21" s="135">
        <f t="shared" si="37"/>
        <v>39.61</v>
      </c>
      <c r="AC21" s="135">
        <f t="shared" si="37"/>
        <v>38.64</v>
      </c>
      <c r="AD21" s="135">
        <f t="shared" si="37"/>
        <v>27.72</v>
      </c>
      <c r="AE21" s="135">
        <f t="shared" si="37"/>
        <v>27.72</v>
      </c>
      <c r="AF21" s="135">
        <f t="shared" si="37"/>
        <v>16.8</v>
      </c>
      <c r="AG21" s="135">
        <f t="shared" si="37"/>
        <v>16.8</v>
      </c>
      <c r="AH21" s="135">
        <f t="shared" si="37"/>
        <v>0</v>
      </c>
      <c r="AI21" s="135">
        <f t="shared" ref="AI21:AS21" si="38">IF($B10&gt;=AI$15,$D10*($B10-AI$15),0)+IF($F10&gt;=AI$15,$H10*($F10-AI$15),0)+IF($J10&gt;=AI$15,$L10*($J10-AI$15),0)+IF($N10&gt;=AI$15,$P10*($N10-AI$15),0)+IF($R10&gt;=AI$15,$T10*($R10-AI$15),0)+IF($V10&gt;=AI$15,$X10*($V10-AI$15),0)+IF($Z10&gt;=AI$15,$AB10*($Z10-AI$15),0)+IF($AD10&gt;=AI$15,$AF10*($AD10-AI$15),0)</f>
        <v>1565.73</v>
      </c>
      <c r="AJ21" s="135">
        <f t="shared" si="38"/>
        <v>1300.4949999999999</v>
      </c>
      <c r="AK21" s="135">
        <f t="shared" si="38"/>
        <v>1102.4450000000002</v>
      </c>
      <c r="AL21" s="135">
        <f t="shared" si="38"/>
        <v>904.39499999999998</v>
      </c>
      <c r="AM21" s="135">
        <f t="shared" si="38"/>
        <v>706.34500000000003</v>
      </c>
      <c r="AN21" s="135">
        <f t="shared" si="38"/>
        <v>510.72</v>
      </c>
      <c r="AO21" s="135">
        <f t="shared" si="38"/>
        <v>328.44</v>
      </c>
      <c r="AP21" s="135">
        <f t="shared" si="38"/>
        <v>189.84000000000003</v>
      </c>
      <c r="AQ21" s="135">
        <f t="shared" si="38"/>
        <v>84</v>
      </c>
      <c r="AR21" s="135">
        <f t="shared" si="38"/>
        <v>0</v>
      </c>
      <c r="AS21" s="135">
        <f t="shared" si="38"/>
        <v>0</v>
      </c>
      <c r="AT21" s="135">
        <f t="shared" ref="AT21:BD21" si="39">IF($B10&gt;=AT$15,$E10,0)+IF($F10&gt;=AT$15,$I10,0)+IF($J10&gt;=AT$15,$M10,0)+IF($N10&gt;=AT$15,$Q10,0)+IF($R10&gt;=AT$15,$U10,0)+IF($V10&gt;=AT$15,$Y10,0)+IF($Z10&gt;=AT$15,$AC10,0)+IF($AD10&gt;=AT$15,$AG10,0)</f>
        <v>15.409999999999998</v>
      </c>
      <c r="AU21" s="135">
        <f t="shared" si="39"/>
        <v>11.479999999999999</v>
      </c>
      <c r="AV21" s="135">
        <f t="shared" si="39"/>
        <v>11.479999999999999</v>
      </c>
      <c r="AW21" s="135">
        <f t="shared" si="39"/>
        <v>11.479999999999999</v>
      </c>
      <c r="AX21" s="135">
        <f t="shared" si="39"/>
        <v>11.479999999999999</v>
      </c>
      <c r="AY21" s="135">
        <f t="shared" si="39"/>
        <v>10.51</v>
      </c>
      <c r="AZ21" s="135">
        <f t="shared" si="39"/>
        <v>8.26</v>
      </c>
      <c r="BA21" s="135">
        <f t="shared" si="39"/>
        <v>8.26</v>
      </c>
      <c r="BB21" s="135">
        <f t="shared" si="39"/>
        <v>6.01</v>
      </c>
      <c r="BC21" s="135">
        <f t="shared" si="39"/>
        <v>6.01</v>
      </c>
      <c r="BD21" s="135">
        <f t="shared" si="39"/>
        <v>0</v>
      </c>
      <c r="BE21" s="135">
        <f t="shared" ref="BE21:BO21" si="40">IF($B10&gt;=BE$15,$E10*($B10-BE$15),0)+IF($F10&gt;=BE$15,$I10*($F10-BE$15),0)+IF($J10&gt;=BE$15,$M10*($J10-BE$15),0)+IF($N10&gt;=BE$15,$Q10*($N10-BE$15),0)+IF($R10&gt;=BE$15,$U10*($R10-BE$15),0)+IF($V10&gt;=BE$15,$Y10*($V10-BE$15),0)+IF($Z10&gt;=BE$15,$AC10*($Z10-BE$15),0)+IF($AD10&gt;=BE$15,$AG10*($AD10-BE$15),0)</f>
        <v>458.46000000000004</v>
      </c>
      <c r="BF21" s="135">
        <f t="shared" si="40"/>
        <v>383.37500000000006</v>
      </c>
      <c r="BG21" s="135">
        <f t="shared" si="40"/>
        <v>325.97499999999997</v>
      </c>
      <c r="BH21" s="135">
        <f t="shared" si="40"/>
        <v>268.57499999999999</v>
      </c>
      <c r="BI21" s="135">
        <f t="shared" si="40"/>
        <v>211.17500000000001</v>
      </c>
      <c r="BJ21" s="135">
        <f t="shared" si="40"/>
        <v>156.20000000000002</v>
      </c>
      <c r="BK21" s="135">
        <f t="shared" si="40"/>
        <v>105.89999999999999</v>
      </c>
      <c r="BL21" s="135">
        <f t="shared" si="40"/>
        <v>64.599999999999994</v>
      </c>
      <c r="BM21" s="135">
        <f t="shared" si="40"/>
        <v>30.049999999999997</v>
      </c>
      <c r="BN21" s="135">
        <f t="shared" si="40"/>
        <v>0</v>
      </c>
      <c r="BO21" s="136">
        <f t="shared" si="40"/>
        <v>0</v>
      </c>
    </row>
    <row r="22" spans="1:67" ht="15.75" thickBot="1" x14ac:dyDescent="0.3">
      <c r="A22" s="127">
        <v>50</v>
      </c>
      <c r="B22" s="137">
        <f>IF($B11&gt;=B$15,$C11,0)+IF($F11&gt;=B$15,$G11,0)+IF($J11&gt;=B$15,$K11,0)+IF($N11&gt;=B$15,$O11,0)+IF($R11&gt;=B$15,$S11,0)+IF($V11&gt;=B$15,$W11,0)+IF($Z11&gt;=B$15,$AA11,0)+IF('Mast Arm 2 Design'!$D$8="",IF($AD11&gt;=B$15,$AE11,0),0)</f>
        <v>414.79999999999995</v>
      </c>
      <c r="C22" s="138">
        <f>IF($B11&gt;=C$15,$C11,0)+IF($F11&gt;=C$15,$G11,0)+IF($J11&gt;=C$15,$K11,0)+IF($N11&gt;=C$15,$O11,0)+IF($R11&gt;=C$15,$S11,0)+IF($V11&gt;=C$15,$W11,0)+IF($Z11&gt;=C$15,$AA11,0)+IF('Mast Arm 2 Design'!$D$8="",IF($AD11&gt;=C$15,$AE11,0),0)</f>
        <v>324.79999999999995</v>
      </c>
      <c r="D22" s="138">
        <f>IF($B11&gt;=D$15,$C11,0)+IF($F11&gt;=D$15,$G11,0)+IF($J11&gt;=D$15,$K11,0)+IF($N11&gt;=D$15,$O11,0)+IF($R11&gt;=D$15,$S11,0)+IF($V11&gt;=D$15,$W11,0)+IF($Z11&gt;=D$15,$AA11,0)+IF('Mast Arm 2 Design'!$D$8="",IF($AD11&gt;=D$15,$AE11,0),0)</f>
        <v>324.79999999999995</v>
      </c>
      <c r="E22" s="138">
        <f>IF($B11&gt;=E$15,$C11,0)+IF($F11&gt;=E$15,$G11,0)+IF($J11&gt;=E$15,$K11,0)+IF($N11&gt;=E$15,$O11,0)+IF($R11&gt;=E$15,$S11,0)+IF($V11&gt;=E$15,$W11,0)+IF($Z11&gt;=E$15,$AA11,0)+IF('Mast Arm 2 Design'!$D$8="",IF($AD11&gt;=E$15,$AE11,0),0)</f>
        <v>324.79999999999995</v>
      </c>
      <c r="F22" s="138">
        <f>IF($B11&gt;=F$15,$C11,0)+IF($F11&gt;=F$15,$G11,0)+IF($J11&gt;=F$15,$K11,0)+IF($N11&gt;=F$15,$O11,0)+IF($R11&gt;=F$15,$S11,0)+IF($V11&gt;=F$15,$W11,0)+IF($Z11&gt;=F$15,$AA11,0)+IF('Mast Arm 2 Design'!$D$8="",IF($AD11&gt;=F$15,$AE11,0),0)</f>
        <v>324.79999999999995</v>
      </c>
      <c r="G22" s="138">
        <f>IF($B11&gt;=G$15,$C11,0)+IF($F11&gt;=G$15,$G11,0)+IF($J11&gt;=G$15,$K11,0)+IF($N11&gt;=G$15,$O11,0)+IF($R11&gt;=G$15,$S11,0)+IF($V11&gt;=G$15,$W11,0)+IF($Z11&gt;=G$15,$AA11,0)+IF('Mast Arm 2 Design'!$D$8="",IF($AD11&gt;=G$15,$AE11,0),0)</f>
        <v>324.79999999999995</v>
      </c>
      <c r="H22" s="138">
        <f>IF($B11&gt;=H$15,$C11,0)+IF($F11&gt;=H$15,$G11,0)+IF($J11&gt;=H$15,$K11,0)+IF($N11&gt;=H$15,$O11,0)+IF($R11&gt;=H$15,$S11,0)+IF($V11&gt;=H$15,$W11,0)+IF($Z11&gt;=H$15,$AA11,0)+IF('Mast Arm 2 Design'!$D$8="",IF($AD11&gt;=H$15,$AE11,0),0)</f>
        <v>245.6</v>
      </c>
      <c r="I22" s="138">
        <f>IF($B11&gt;=I$15,$C11,0)+IF($F11&gt;=I$15,$G11,0)+IF($J11&gt;=I$15,$K11,0)+IF($N11&gt;=I$15,$O11,0)+IF($R11&gt;=I$15,$S11,0)+IF($V11&gt;=I$15,$W11,0)+IF($Z11&gt;=I$15,$AA11,0)+IF('Mast Arm 2 Design'!$D$8="",IF($AD11&gt;=I$15,$AE11,0),0)</f>
        <v>170.60000000000002</v>
      </c>
      <c r="J22" s="138">
        <f>IF($B11&gt;=J$15,$C11,0)+IF($F11&gt;=J$15,$G11,0)+IF($J11&gt;=J$15,$K11,0)+IF($N11&gt;=J$15,$O11,0)+IF($R11&gt;=J$15,$S11,0)+IF($V11&gt;=J$15,$W11,0)+IF($Z11&gt;=J$15,$AA11,0)+IF('Mast Arm 2 Design'!$D$8="",IF($AD11&gt;=J$15,$AE11,0),0)</f>
        <v>170.60000000000002</v>
      </c>
      <c r="K22" s="138">
        <f>IF($B11&gt;=K$15,$C11,0)+IF($F11&gt;=K$15,$G11,0)+IF($J11&gt;=K$15,$K11,0)+IF($N11&gt;=K$15,$O11,0)+IF($R11&gt;=K$15,$S11,0)+IF($V11&gt;=K$15,$W11,0)+IF($Z11&gt;=K$15,$AA11,0)+IF('Mast Arm 2 Design'!$D$8="",IF($AD11&gt;=K$15,$AE11,0),0)</f>
        <v>95.6</v>
      </c>
      <c r="L22" s="138">
        <f>IF($B11&gt;=L$15,$C11,0)+IF($F11&gt;=L$15,$G11,0)+IF($J11&gt;=L$15,$K11,0)+IF($N11&gt;=L$15,$O11,0)+IF($R11&gt;=L$15,$S11,0)+IF($V11&gt;=L$15,$W11,0)+IF($Z11&gt;=L$15,$AA11,0)+IF('Mast Arm 2 Design'!$D$8="",IF($AD11&gt;=L$15,$AE11,0),0)</f>
        <v>95.6</v>
      </c>
      <c r="M22" s="138">
        <f>IF($B11&gt;=M$15,$C11*($B11-M$15),0)+IF($F11&gt;=M$15,$G11*($F11-M$15),0)+IF($J11&gt;=M$15,$K11*($J11-M$15),0)+IF($N11&gt;=M$15,$O11*($N11-M$15),0)+IF($R11&gt;=M$15,$S11*($R11-M$15),0)+IF($V11&gt;=M$15,$W11*($V11-M$15),0)+IF($Z11&gt;=M$15,$AA11*($Z11-M$15),0)+IF('Mast Arm 2 Design'!$D$8="",IF($AD11&gt;=M$15,$AE11*($AD11-M$15),0),0)</f>
        <v>12940</v>
      </c>
      <c r="N22" s="138">
        <f>IF($B11&gt;=N$15,$C11*($B11-N$15),0)+IF($F11&gt;=N$15,$G11*($F11-N$15),0)+IF($J11&gt;=N$15,$K11*($J11-N$15),0)+IF($N11&gt;=N$15,$O11*($N11-N$15),0)+IF($R11&gt;=N$15,$S11*($R11-N$15),0)+IF($V11&gt;=N$15,$W11*($V11-N$15),0)+IF($Z11&gt;=N$15,$AA11*($Z11-N$15),0)+IF('Mast Arm 2 Design'!$D$8="",IF($AD11&gt;=N$15,$AE11*($AD11-N$15),0),0)</f>
        <v>10911</v>
      </c>
      <c r="O22" s="138">
        <f>IF($B11&gt;=O$15,$C11*($B11-O$15),0)+IF($F11&gt;=O$15,$G11*($F11-O$15),0)+IF($J11&gt;=O$15,$K11*($J11-O$15),0)+IF($N11&gt;=O$15,$O11*($N11-O$15),0)+IF($R11&gt;=O$15,$S11*($R11-O$15),0)+IF($V11&gt;=O$15,$W11*($V11-O$15),0)+IF($Z11&gt;=O$15,$AA11*($Z11-O$15),0)+IF('Mast Arm 2 Design'!$D$8="",IF($AD11&gt;=O$15,$AE11*($AD11-O$15),0),0)</f>
        <v>9287</v>
      </c>
      <c r="P22" s="138">
        <f>IF($B11&gt;=P$15,$C11*($B11-P$15),0)+IF($F11&gt;=P$15,$G11*($F11-P$15),0)+IF($J11&gt;=P$15,$K11*($J11-P$15),0)+IF($N11&gt;=P$15,$O11*($N11-P$15),0)+IF($R11&gt;=P$15,$S11*($R11-P$15),0)+IF($V11&gt;=P$15,$W11*($V11-P$15),0)+IF($Z11&gt;=P$15,$AA11*($Z11-P$15),0)+IF('Mast Arm 2 Design'!$D$8="",IF($AD11&gt;=P$15,$AE11*($AD11-P$15),0),0)</f>
        <v>7663</v>
      </c>
      <c r="Q22" s="138">
        <f>IF($B11&gt;=Q$15,$C11*($B11-Q$15),0)+IF($F11&gt;=Q$15,$G11*($F11-Q$15),0)+IF($J11&gt;=Q$15,$K11*($J11-Q$15),0)+IF($N11&gt;=Q$15,$O11*($N11-Q$15),0)+IF($R11&gt;=Q$15,$S11*($R11-Q$15),0)+IF($V11&gt;=Q$15,$W11*($V11-Q$15),0)+IF($Z11&gt;=Q$15,$AA11*($Z11-Q$15),0)+IF('Mast Arm 2 Design'!$D$8="",IF($AD11&gt;=Q$15,$AE11*($AD11-Q$15),0),0)</f>
        <v>6039</v>
      </c>
      <c r="R22" s="138">
        <f>IF($B11&gt;=R$15,$C11*($B11-R$15),0)+IF($F11&gt;=R$15,$G11*($F11-R$15),0)+IF($J11&gt;=R$15,$K11*($J11-R$15),0)+IF($N11&gt;=R$15,$O11*($N11-R$15),0)+IF($R11&gt;=R$15,$S11*($R11-R$15),0)+IF($V11&gt;=R$15,$W11*($V11-R$15),0)+IF($Z11&gt;=R$15,$AA11*($Z11-R$15),0)+IF('Mast Arm 2 Design'!$D$8="",IF($AD11&gt;=R$15,$AE11*($AD11-R$15),0),0)</f>
        <v>4415</v>
      </c>
      <c r="S22" s="138">
        <f>IF($B11&gt;=S$15,$C11*($B11-S$15),0)+IF($F11&gt;=S$15,$G11*($F11-S$15),0)+IF($J11&gt;=S$15,$K11*($J11-S$15),0)+IF($N11&gt;=S$15,$O11*($N11-S$15),0)+IF($R11&gt;=S$15,$S11*($R11-S$15),0)+IF($V11&gt;=S$15,$W11*($V11-S$15),0)+IF($Z11&gt;=S$15,$AA11*($Z11-S$15),0)+IF('Mast Arm 2 Design'!$D$8="",IF($AD11&gt;=S$15,$AE11*($AD11-S$15),0),0)</f>
        <v>3112</v>
      </c>
      <c r="T22" s="138">
        <f>IF($B11&gt;=T$15,$C11*($B11-T$15),0)+IF($F11&gt;=T$15,$G11*($F11-T$15),0)+IF($J11&gt;=T$15,$K11*($J11-T$15),0)+IF($N11&gt;=T$15,$O11*($N11-T$15),0)+IF($R11&gt;=T$15,$S11*($R11-T$15),0)+IF($V11&gt;=T$15,$W11*($V11-T$15),0)+IF($Z11&gt;=T$15,$AA11*($Z11-T$15),0)+IF('Mast Arm 2 Design'!$D$8="",IF($AD11&gt;=T$15,$AE11*($AD11-T$15),0),0)</f>
        <v>1959</v>
      </c>
      <c r="U22" s="138">
        <f>IF($B11&gt;=U$15,$C11*($B11-U$15),0)+IF($F11&gt;=U$15,$G11*($F11-U$15),0)+IF($J11&gt;=U$15,$K11*($J11-U$15),0)+IF($N11&gt;=U$15,$O11*($N11-U$15),0)+IF($R11&gt;=U$15,$S11*($R11-U$15),0)+IF($V11&gt;=U$15,$W11*($V11-U$15),0)+IF($Z11&gt;=U$15,$AA11*($Z11-U$15),0)+IF('Mast Arm 2 Design'!$D$8="",IF($AD11&gt;=U$15,$AE11*($AD11-U$15),0),0)</f>
        <v>1106</v>
      </c>
      <c r="V22" s="138">
        <f>IF($B11&gt;=V$15,$C11*($B11-V$15),0)+IF($F11&gt;=V$15,$G11*($F11-V$15),0)+IF($J11&gt;=V$15,$K11*($J11-V$15),0)+IF($N11&gt;=V$15,$O11*($N11-V$15),0)+IF($R11&gt;=V$15,$S11*($R11-V$15),0)+IF($V11&gt;=V$15,$W11*($V11-V$15),0)+IF($Z11&gt;=V$15,$AA11*($Z11-V$15),0)+IF('Mast Arm 2 Design'!$D$8="",IF($AD11&gt;=V$15,$AE11*($AD11-V$15),0),0)</f>
        <v>478</v>
      </c>
      <c r="W22" s="138">
        <f>IF($B11&gt;=W$15,$C11*($B11-W$15),0)+IF($F11&gt;=W$15,$G11*($F11-W$15),0)+IF($J11&gt;=W$15,$K11*($J11-W$15),0)+IF($N11&gt;=W$15,$O11*($N11-W$15),0)+IF($R11&gt;=W$15,$S11*($R11-W$15),0)+IF($V11&gt;=W$15,$W11*($V11-W$15),0)+IF($Z11&gt;=W$15,$AA11*($Z11-W$15),0)+IF('Mast Arm 2 Design'!$D$8="",IF($AD11&gt;=W$15,$AE11*($AD11-W$15),0),0)</f>
        <v>0</v>
      </c>
      <c r="X22" s="138">
        <f>IF($B11&gt;=X$15,$D11,0)+IF($F11&gt;=X$15,$H11,0)+IF($J11&gt;=X$15,$L11,0)+IF($N11&gt;=X$15,$P11,0)+IF($R11&gt;=X$15,$T11,0)+IF($V11&gt;=X$15,$X11,0)+IF($Z11&gt;=X$15,$AB11,0)+IF('Mast Arm 2 Design'!$D$8="",IF($AD11&gt;=X$15,$AF11,0),0)</f>
        <v>65.459999999999994</v>
      </c>
      <c r="Y22" s="138">
        <f>IF($B11&gt;=Y$15,$D11,0)+IF($F11&gt;=Y$15,$H11,0)+IF($J11&gt;=Y$15,$L11,0)+IF($N11&gt;=Y$15,$P11,0)+IF($R11&gt;=Y$15,$T11,0)+IF($V11&gt;=Y$15,$X11,0)+IF($Z11&gt;=Y$15,$AB11,0)+IF('Mast Arm 2 Design'!$D$8="",IF($AD11&gt;=Y$15,$AF11,0),0)</f>
        <v>50.53</v>
      </c>
      <c r="Z22" s="138">
        <f>IF($B11&gt;=Z$15,$D11,0)+IF($F11&gt;=Z$15,$H11,0)+IF($J11&gt;=Z$15,$L11,0)+IF($N11&gt;=Z$15,$P11,0)+IF($R11&gt;=Z$15,$T11,0)+IF($V11&gt;=Z$15,$X11,0)+IF($Z11&gt;=Z$15,$AB11,0)+IF('Mast Arm 2 Design'!$D$8="",IF($AD11&gt;=Z$15,$AF11,0),0)</f>
        <v>50.53</v>
      </c>
      <c r="AA22" s="138">
        <f>IF($B11&gt;=AA$15,$D11,0)+IF($F11&gt;=AA$15,$H11,0)+IF($J11&gt;=AA$15,$L11,0)+IF($N11&gt;=AA$15,$P11,0)+IF($R11&gt;=AA$15,$T11,0)+IF($V11&gt;=AA$15,$X11,0)+IF($Z11&gt;=AA$15,$AB11,0)+IF('Mast Arm 2 Design'!$D$8="",IF($AD11&gt;=AA$15,$AF11,0),0)</f>
        <v>50.53</v>
      </c>
      <c r="AB22" s="138">
        <f>IF($B11&gt;=AB$15,$D11,0)+IF($F11&gt;=AB$15,$H11,0)+IF($J11&gt;=AB$15,$L11,0)+IF($N11&gt;=AB$15,$P11,0)+IF($R11&gt;=AB$15,$T11,0)+IF($V11&gt;=AB$15,$X11,0)+IF($Z11&gt;=AB$15,$AB11,0)+IF('Mast Arm 2 Design'!$D$8="",IF($AD11&gt;=AB$15,$AF11,0),0)</f>
        <v>50.53</v>
      </c>
      <c r="AC22" s="138">
        <f>IF($B11&gt;=AC$15,$D11,0)+IF($F11&gt;=AC$15,$H11,0)+IF($J11&gt;=AC$15,$L11,0)+IF($N11&gt;=AC$15,$P11,0)+IF($R11&gt;=AC$15,$T11,0)+IF($V11&gt;=AC$15,$X11,0)+IF($Z11&gt;=AC$15,$AB11,0)+IF('Mast Arm 2 Design'!$D$8="",IF($AD11&gt;=AC$15,$AF11,0),0)</f>
        <v>50.53</v>
      </c>
      <c r="AD22" s="138">
        <f>IF($B11&gt;=AD$15,$D11,0)+IF($F11&gt;=AD$15,$H11,0)+IF($J11&gt;=AD$15,$L11,0)+IF($N11&gt;=AD$15,$P11,0)+IF($R11&gt;=AD$15,$T11,0)+IF($V11&gt;=AD$15,$X11,0)+IF($Z11&gt;=AD$15,$AB11,0)+IF('Mast Arm 2 Design'!$D$8="",IF($AD11&gt;=AD$15,$AF11,0),0)</f>
        <v>38.64</v>
      </c>
      <c r="AE22" s="138">
        <f>IF($B11&gt;=AE$15,$D11,0)+IF($F11&gt;=AE$15,$H11,0)+IF($J11&gt;=AE$15,$L11,0)+IF($N11&gt;=AE$15,$P11,0)+IF($R11&gt;=AE$15,$T11,0)+IF($V11&gt;=AE$15,$X11,0)+IF($Z11&gt;=AE$15,$AB11,0)+IF('Mast Arm 2 Design'!$D$8="",IF($AD11&gt;=AE$15,$AF11,0),0)</f>
        <v>27.72</v>
      </c>
      <c r="AF22" s="138">
        <f>IF($B11&gt;=AF$15,$D11,0)+IF($F11&gt;=AF$15,$H11,0)+IF($J11&gt;=AF$15,$L11,0)+IF($N11&gt;=AF$15,$P11,0)+IF($R11&gt;=AF$15,$T11,0)+IF($V11&gt;=AF$15,$X11,0)+IF($Z11&gt;=AF$15,$AB11,0)+IF('Mast Arm 2 Design'!$D$8="",IF($AD11&gt;=AF$15,$AF11,0),0)</f>
        <v>27.72</v>
      </c>
      <c r="AG22" s="138">
        <f>IF($B11&gt;=AG$15,$D11,0)+IF($F11&gt;=AG$15,$H11,0)+IF($J11&gt;=AG$15,$L11,0)+IF($N11&gt;=AG$15,$P11,0)+IF($R11&gt;=AG$15,$T11,0)+IF($V11&gt;=AG$15,$X11,0)+IF($Z11&gt;=AG$15,$AB11,0)+IF('Mast Arm 2 Design'!$D$8="",IF($AD11&gt;=AG$15,$AF11,0),0)</f>
        <v>16.8</v>
      </c>
      <c r="AH22" s="138">
        <f>IF($B11&gt;=AH$15,$D11,0)+IF($F11&gt;=AH$15,$H11,0)+IF($J11&gt;=AH$15,$L11,0)+IF($N11&gt;=AH$15,$P11,0)+IF($R11&gt;=AH$15,$T11,0)+IF($V11&gt;=AH$15,$X11,0)+IF($Z11&gt;=AH$15,$AB11,0)+IF('Mast Arm 2 Design'!$D$8="",IF($AD11&gt;=AH$15,$AF11,0),0)</f>
        <v>16.8</v>
      </c>
      <c r="AI22" s="138">
        <f>IF($B11&gt;=AI$15,$D11*($B11-AI$15),0)+IF($F11&gt;=AI$15,$H11*($F11-AI$15),0)+IF($J11&gt;=AI$15,$L11*($J11-AI$15),0)+IF($N11&gt;=AI$15,$P11*($N11-AI$15),0)+IF($R11&gt;=AI$15,$T11*($R11-AI$15),0)+IF($V11&gt;=AI$15,$X11*($V11-AI$15),0)+IF($Z11&gt;=AI$15,$AB11*($Z11-AI$15),0)+IF('Mast Arm 2 Design'!$D$8="",IF($AD11&gt;=AI$15,$AF11*($AD11-AI$15),0),0)</f>
        <v>2045.2750000000001</v>
      </c>
      <c r="AJ22" s="138">
        <f>IF($B11&gt;=AJ$15,$D11*($B11-AJ$15),0)+IF($F11&gt;=AJ$15,$H11*($F11-AJ$15),0)+IF($J11&gt;=AJ$15,$L11*($J11-AJ$15),0)+IF($N11&gt;=AJ$15,$P11*($N11-AJ$15),0)+IF($R11&gt;=AJ$15,$T11*($R11-AJ$15),0)+IF($V11&gt;=AJ$15,$X11*($V11-AJ$15),0)+IF($Z11&gt;=AJ$15,$AB11*($Z11-AJ$15),0)+IF('Mast Arm 2 Design'!$D$8="",IF($AD11&gt;=AJ$15,$AF11*($AD11-AJ$15),0),0)</f>
        <v>1725.4399999999998</v>
      </c>
      <c r="AK22" s="138">
        <f>IF($B11&gt;=AK$15,$D11*($B11-AK$15),0)+IF($F11&gt;=AK$15,$H11*($F11-AK$15),0)+IF($J11&gt;=AK$15,$L11*($J11-AK$15),0)+IF($N11&gt;=AK$15,$P11*($N11-AK$15),0)+IF($R11&gt;=AK$15,$T11*($R11-AK$15),0)+IF($V11&gt;=AK$15,$X11*($V11-AK$15),0)+IF($Z11&gt;=AK$15,$AB11*($Z11-AK$15),0)+IF('Mast Arm 2 Design'!$D$8="",IF($AD11&gt;=AK$15,$AF11*($AD11-AK$15),0),0)</f>
        <v>1472.79</v>
      </c>
      <c r="AL22" s="138">
        <f>IF($B11&gt;=AL$15,$D11*($B11-AL$15),0)+IF($F11&gt;=AL$15,$H11*($F11-AL$15),0)+IF($J11&gt;=AL$15,$L11*($J11-AL$15),0)+IF($N11&gt;=AL$15,$P11*($N11-AL$15),0)+IF($R11&gt;=AL$15,$T11*($R11-AL$15),0)+IF($V11&gt;=AL$15,$X11*($V11-AL$15),0)+IF($Z11&gt;=AL$15,$AB11*($Z11-AL$15),0)+IF('Mast Arm 2 Design'!$D$8="",IF($AD11&gt;=AL$15,$AF11*($AD11-AL$15),0),0)</f>
        <v>1220.1399999999999</v>
      </c>
      <c r="AM22" s="138">
        <f>IF($B11&gt;=AM$15,$D11*($B11-AM$15),0)+IF($F11&gt;=AM$15,$H11*($F11-AM$15),0)+IF($J11&gt;=AM$15,$L11*($J11-AM$15),0)+IF($N11&gt;=AM$15,$P11*($N11-AM$15),0)+IF($R11&gt;=AM$15,$T11*($R11-AM$15),0)+IF($V11&gt;=AM$15,$X11*($V11-AM$15),0)+IF($Z11&gt;=AM$15,$AB11*($Z11-AM$15),0)+IF('Mast Arm 2 Design'!$D$8="",IF($AD11&gt;=AM$15,$AF11*($AD11-AM$15),0),0)</f>
        <v>967.49</v>
      </c>
      <c r="AN22" s="138">
        <f>IF($B11&gt;=AN$15,$D11*($B11-AN$15),0)+IF($F11&gt;=AN$15,$H11*($F11-AN$15),0)+IF($J11&gt;=AN$15,$L11*($J11-AN$15),0)+IF($N11&gt;=AN$15,$P11*($N11-AN$15),0)+IF($R11&gt;=AN$15,$T11*($R11-AN$15),0)+IF($V11&gt;=AN$15,$X11*($V11-AN$15),0)+IF($Z11&gt;=AN$15,$AB11*($Z11-AN$15),0)+IF('Mast Arm 2 Design'!$D$8="",IF($AD11&gt;=AN$15,$AF11*($AD11-AN$15),0),0)</f>
        <v>714.83999999999992</v>
      </c>
      <c r="AO22" s="138">
        <f>IF($B11&gt;=AO$15,$D11*($B11-AO$15),0)+IF($F11&gt;=AO$15,$H11*($F11-AO$15),0)+IF($J11&gt;=AO$15,$L11*($J11-AO$15),0)+IF($N11&gt;=AO$15,$P11*($N11-AO$15),0)+IF($R11&gt;=AO$15,$T11*($R11-AO$15),0)+IF($V11&gt;=AO$15,$X11*($V11-AO$15),0)+IF($Z11&gt;=AO$15,$AB11*($Z11-AO$15),0)+IF('Mast Arm 2 Design'!$D$8="",IF($AD11&gt;=AO$15,$AF11*($AD11-AO$15),0),0)</f>
        <v>510.72</v>
      </c>
      <c r="AP22" s="138">
        <f>IF($B11&gt;=AP$15,$D11*($B11-AP$15),0)+IF($F11&gt;=AP$15,$H11*($F11-AP$15),0)+IF($J11&gt;=AP$15,$L11*($J11-AP$15),0)+IF($N11&gt;=AP$15,$P11*($N11-AP$15),0)+IF($R11&gt;=AP$15,$T11*($R11-AP$15),0)+IF($V11&gt;=AP$15,$X11*($V11-AP$15),0)+IF($Z11&gt;=AP$15,$AB11*($Z11-AP$15),0)+IF('Mast Arm 2 Design'!$D$8="",IF($AD11&gt;=AP$15,$AF11*($AD11-AP$15),0),0)</f>
        <v>328.44</v>
      </c>
      <c r="AQ22" s="138">
        <f>IF($B11&gt;=AQ$15,$D11*($B11-AQ$15),0)+IF($F11&gt;=AQ$15,$H11*($F11-AQ$15),0)+IF($J11&gt;=AQ$15,$L11*($J11-AQ$15),0)+IF($N11&gt;=AQ$15,$P11*($N11-AQ$15),0)+IF($R11&gt;=AQ$15,$T11*($R11-AQ$15),0)+IF($V11&gt;=AQ$15,$X11*($V11-AQ$15),0)+IF($Z11&gt;=AQ$15,$AB11*($Z11-AQ$15),0)+IF('Mast Arm 2 Design'!$D$8="",IF($AD11&gt;=AQ$15,$AF11*($AD11-AQ$15),0),0)</f>
        <v>189.84000000000003</v>
      </c>
      <c r="AR22" s="138">
        <f>IF($B11&gt;=AR$15,$D11*($B11-AR$15),0)+IF($F11&gt;=AR$15,$H11*($F11-AR$15),0)+IF($J11&gt;=AR$15,$L11*($J11-AR$15),0)+IF($N11&gt;=AR$15,$P11*($N11-AR$15),0)+IF($R11&gt;=AR$15,$T11*($R11-AR$15),0)+IF($V11&gt;=AR$15,$X11*($V11-AR$15),0)+IF($Z11&gt;=AR$15,$AB11*($Z11-AR$15),0)+IF('Mast Arm 2 Design'!$D$8="",IF($AD11&gt;=AR$15,$AF11*($AD11-AR$15),0),0)</f>
        <v>84</v>
      </c>
      <c r="AS22" s="138">
        <f>IF($B11&gt;=AS$15,$D11*($B11-AS$15),0)+IF($F11&gt;=AS$15,$H11*($F11-AS$15),0)+IF($J11&gt;=AS$15,$L11*($J11-AS$15),0)+IF($N11&gt;=AS$15,$P11*($N11-AS$15),0)+IF($R11&gt;=AS$15,$T11*($R11-AS$15),0)+IF($V11&gt;=AS$15,$X11*($V11-AS$15),0)+IF($Z11&gt;=AS$15,$AB11*($Z11-AS$15),0)+IF('Mast Arm 2 Design'!$D$8="",IF($AD11&gt;=AS$15,$AF11*($AD11-AS$15),0),0)</f>
        <v>0</v>
      </c>
      <c r="AT22" s="138">
        <f>IF($B11&gt;=AT$15,$E11,0)+IF($F11&gt;=AT$15,$I11,0)+IF($J11&gt;=AT$15,$M11,0)+IF($N11&gt;=AT$15,$Q11,0)+IF($R11&gt;=AT$15,$U11,0)+IF($V11&gt;=AT$15,$Y11,0)+IF($Z11&gt;=AT$15,$AC11,0)+IF('Mast Arm 2 Design'!$D$8="",IF($AD11&gt;=AT$15,$AG11,0),0)</f>
        <v>17.659999999999997</v>
      </c>
      <c r="AU22" s="138">
        <f>IF($B11&gt;=AU$15,$E11,0)+IF($F11&gt;=AU$15,$I11,0)+IF($J11&gt;=AU$15,$M11,0)+IF($N11&gt;=AU$15,$Q11,0)+IF($R11&gt;=AU$15,$U11,0)+IF($V11&gt;=AU$15,$Y11,0)+IF($Z11&gt;=AU$15,$AC11,0)+IF('Mast Arm 2 Design'!$D$8="",IF($AD11&gt;=AU$15,$AG11,0),0)</f>
        <v>13.729999999999999</v>
      </c>
      <c r="AV22" s="138">
        <f>IF($B11&gt;=AV$15,$E11,0)+IF($F11&gt;=AV$15,$I11,0)+IF($J11&gt;=AV$15,$M11,0)+IF($N11&gt;=AV$15,$Q11,0)+IF($R11&gt;=AV$15,$U11,0)+IF($V11&gt;=AV$15,$Y11,0)+IF($Z11&gt;=AV$15,$AC11,0)+IF('Mast Arm 2 Design'!$D$8="",IF($AD11&gt;=AV$15,$AG11,0),0)</f>
        <v>13.729999999999999</v>
      </c>
      <c r="AW22" s="138">
        <f>IF($B11&gt;=AW$15,$E11,0)+IF($F11&gt;=AW$15,$I11,0)+IF($J11&gt;=AW$15,$M11,0)+IF($N11&gt;=AW$15,$Q11,0)+IF($R11&gt;=AW$15,$U11,0)+IF($V11&gt;=AW$15,$Y11,0)+IF($Z11&gt;=AW$15,$AC11,0)+IF('Mast Arm 2 Design'!$D$8="",IF($AD11&gt;=AW$15,$AG11,0),0)</f>
        <v>13.729999999999999</v>
      </c>
      <c r="AX22" s="138">
        <f>IF($B11&gt;=AX$15,$E11,0)+IF($F11&gt;=AX$15,$I11,0)+IF($J11&gt;=AX$15,$M11,0)+IF($N11&gt;=AX$15,$Q11,0)+IF($R11&gt;=AX$15,$U11,0)+IF($V11&gt;=AX$15,$Y11,0)+IF($Z11&gt;=AX$15,$AC11,0)+IF('Mast Arm 2 Design'!$D$8="",IF($AD11&gt;=AX$15,$AG11,0),0)</f>
        <v>13.729999999999999</v>
      </c>
      <c r="AY22" s="138">
        <f>IF($B11&gt;=AY$15,$E11,0)+IF($F11&gt;=AY$15,$I11,0)+IF($J11&gt;=AY$15,$M11,0)+IF($N11&gt;=AY$15,$Q11,0)+IF($R11&gt;=AY$15,$U11,0)+IF($V11&gt;=AY$15,$Y11,0)+IF($Z11&gt;=AY$15,$AC11,0)+IF('Mast Arm 2 Design'!$D$8="",IF($AD11&gt;=AY$15,$AG11,0),0)</f>
        <v>13.729999999999999</v>
      </c>
      <c r="AZ22" s="138">
        <f>IF($B11&gt;=AZ$15,$E11,0)+IF($F11&gt;=AZ$15,$I11,0)+IF($J11&gt;=AZ$15,$M11,0)+IF($N11&gt;=AZ$15,$Q11,0)+IF($R11&gt;=AZ$15,$U11,0)+IF($V11&gt;=AZ$15,$Y11,0)+IF($Z11&gt;=AZ$15,$AC11,0)+IF('Mast Arm 2 Design'!$D$8="",IF($AD11&gt;=AZ$15,$AG11,0),0)</f>
        <v>10.51</v>
      </c>
      <c r="BA22" s="138">
        <f>IF($B11&gt;=BA$15,$E11,0)+IF($F11&gt;=BA$15,$I11,0)+IF($J11&gt;=BA$15,$M11,0)+IF($N11&gt;=BA$15,$Q11,0)+IF($R11&gt;=BA$15,$U11,0)+IF($V11&gt;=BA$15,$Y11,0)+IF($Z11&gt;=BA$15,$AC11,0)+IF('Mast Arm 2 Design'!$D$8="",IF($AD11&gt;=BA$15,$AG11,0),0)</f>
        <v>8.26</v>
      </c>
      <c r="BB22" s="138">
        <f>IF($B11&gt;=BB$15,$E11,0)+IF($F11&gt;=BB$15,$I11,0)+IF($J11&gt;=BB$15,$M11,0)+IF($N11&gt;=BB$15,$Q11,0)+IF($R11&gt;=BB$15,$U11,0)+IF($V11&gt;=BB$15,$Y11,0)+IF($Z11&gt;=BB$15,$AC11,0)+IF('Mast Arm 2 Design'!$D$8="",IF($AD11&gt;=BB$15,$AG11,0),0)</f>
        <v>8.26</v>
      </c>
      <c r="BC22" s="138">
        <f>IF($B11&gt;=BC$15,$E11,0)+IF($F11&gt;=BC$15,$I11,0)+IF($J11&gt;=BC$15,$M11,0)+IF($N11&gt;=BC$15,$Q11,0)+IF($R11&gt;=BC$15,$U11,0)+IF($V11&gt;=BC$15,$Y11,0)+IF($Z11&gt;=BC$15,$AC11,0)+IF('Mast Arm 2 Design'!$D$8="",IF($AD11&gt;=BC$15,$AG11,0),0)</f>
        <v>6.01</v>
      </c>
      <c r="BD22" s="138">
        <f>IF($B11&gt;=BD$15,$E11,0)+IF($F11&gt;=BD$15,$I11,0)+IF($J11&gt;=BD$15,$M11,0)+IF($N11&gt;=BD$15,$Q11,0)+IF($R11&gt;=BD$15,$U11,0)+IF($V11&gt;=BD$15,$Y11,0)+IF($Z11&gt;=BD$15,$AC11,0)+IF('Mast Arm 2 Design'!$D$8="",IF($AD11&gt;=BD$15,$AG11,0),0)</f>
        <v>6.01</v>
      </c>
      <c r="BE22" s="138">
        <f>IF($B11&gt;=BE$15,$E11*($B11-BE$15),0)+IF($F11&gt;=BE$15,$I11*($F11-BE$15),0)+IF($J11&gt;=BE$15,$M11*($J11-BE$15),0)+IF($N11&gt;=BE$15,$Q11*($N11-BE$15),0)+IF($R11&gt;=BE$15,$U11*($R11-BE$15),0)+IF($V11&gt;=BE$15,$Y11*($V11-BE$15),0)+IF($Z11&gt;=BE$15,$AC11*($Z11-BE$15),0)+IF('Mast Arm 2 Design'!$D$8="",IF($AD11&gt;=BE$15,$AG11*($AD11-BE$15),0),0)</f>
        <v>571.93499999999995</v>
      </c>
      <c r="BF22" s="138">
        <f>IF($B11&gt;=BF$15,$E11*($B11-BF$15),0)+IF($F11&gt;=BF$15,$I11*($F11-BF$15),0)+IF($J11&gt;=BF$15,$M11*($J11-BF$15),0)+IF($N11&gt;=BF$15,$Q11*($N11-BF$15),0)+IF($R11&gt;=BF$15,$U11*($R11-BF$15),0)+IF($V11&gt;=BF$15,$Y11*($V11-BF$15),0)+IF($Z11&gt;=BF$15,$AC11*($Z11-BF$15),0)+IF('Mast Arm 2 Design'!$D$8="",IF($AD11&gt;=BF$15,$AG11*($AD11-BF$15),0),0)</f>
        <v>485.6</v>
      </c>
      <c r="BG22" s="138">
        <f>IF($B11&gt;=BG$15,$E11*($B11-BG$15),0)+IF($F11&gt;=BG$15,$I11*($F11-BG$15),0)+IF($J11&gt;=BG$15,$M11*($J11-BG$15),0)+IF($N11&gt;=BG$15,$Q11*($N11-BG$15),0)+IF($R11&gt;=BG$15,$U11*($R11-BG$15),0)+IF($V11&gt;=BG$15,$Y11*($V11-BG$15),0)+IF($Z11&gt;=BG$15,$AC11*($Z11-BG$15),0)+IF('Mast Arm 2 Design'!$D$8="",IF($AD11&gt;=BG$15,$AG11*($AD11-BG$15),0),0)</f>
        <v>416.95000000000005</v>
      </c>
      <c r="BH22" s="138">
        <f>IF($B11&gt;=BH$15,$E11*($B11-BH$15),0)+IF($F11&gt;=BH$15,$I11*($F11-BH$15),0)+IF($J11&gt;=BH$15,$M11*($J11-BH$15),0)+IF($N11&gt;=BH$15,$Q11*($N11-BH$15),0)+IF($R11&gt;=BH$15,$U11*($R11-BH$15),0)+IF($V11&gt;=BH$15,$Y11*($V11-BH$15),0)+IF($Z11&gt;=BH$15,$AC11*($Z11-BH$15),0)+IF('Mast Arm 2 Design'!$D$8="",IF($AD11&gt;=BH$15,$AG11*($AD11-BH$15),0),0)</f>
        <v>348.29999999999995</v>
      </c>
      <c r="BI22" s="138">
        <f>IF($B11&gt;=BI$15,$E11*($B11-BI$15),0)+IF($F11&gt;=BI$15,$I11*($F11-BI$15),0)+IF($J11&gt;=BI$15,$M11*($J11-BI$15),0)+IF($N11&gt;=BI$15,$Q11*($N11-BI$15),0)+IF($R11&gt;=BI$15,$U11*($R11-BI$15),0)+IF($V11&gt;=BI$15,$Y11*($V11-BI$15),0)+IF($Z11&gt;=BI$15,$AC11*($Z11-BI$15),0)+IF('Mast Arm 2 Design'!$D$8="",IF($AD11&gt;=BI$15,$AG11*($AD11-BI$15),0),0)</f>
        <v>279.64999999999998</v>
      </c>
      <c r="BJ22" s="138">
        <f>IF($B11&gt;=BJ$15,$E11*($B11-BJ$15),0)+IF($F11&gt;=BJ$15,$I11*($F11-BJ$15),0)+IF($J11&gt;=BJ$15,$M11*($J11-BJ$15),0)+IF($N11&gt;=BJ$15,$Q11*($N11-BJ$15),0)+IF($R11&gt;=BJ$15,$U11*($R11-BJ$15),0)+IF($V11&gt;=BJ$15,$Y11*($V11-BJ$15),0)+IF($Z11&gt;=BJ$15,$AC11*($Z11-BJ$15),0)+IF('Mast Arm 2 Design'!$D$8="",IF($AD11&gt;=BJ$15,$AG11*($AD11-BJ$15),0),0)</f>
        <v>211</v>
      </c>
      <c r="BK22" s="138">
        <f>IF($B11&gt;=BK$15,$E11*($B11-BK$15),0)+IF($F11&gt;=BK$15,$I11*($F11-BK$15),0)+IF($J11&gt;=BK$15,$M11*($J11-BK$15),0)+IF($N11&gt;=BK$15,$Q11*($N11-BK$15),0)+IF($R11&gt;=BK$15,$U11*($R11-BK$15),0)+IF($V11&gt;=BK$15,$Y11*($V11-BK$15),0)+IF($Z11&gt;=BK$15,$AC11*($Z11-BK$15),0)+IF('Mast Arm 2 Design'!$D$8="",IF($AD11&gt;=BK$15,$AG11*($AD11-BK$15),0),0)</f>
        <v>156.20000000000002</v>
      </c>
      <c r="BL22" s="138">
        <f>IF($B11&gt;=BL$15,$E11*($B11-BL$15),0)+IF($F11&gt;=BL$15,$I11*($F11-BL$15),0)+IF($J11&gt;=BL$15,$M11*($J11-BL$15),0)+IF($N11&gt;=BL$15,$Q11*($N11-BL$15),0)+IF($R11&gt;=BL$15,$U11*($R11-BL$15),0)+IF($V11&gt;=BL$15,$Y11*($V11-BL$15),0)+IF($Z11&gt;=BL$15,$AC11*($Z11-BL$15),0)+IF('Mast Arm 2 Design'!$D$8="",IF($AD11&gt;=BL$15,$AG11*($AD11-BL$15),0),0)</f>
        <v>105.89999999999999</v>
      </c>
      <c r="BM22" s="138">
        <f>IF($B11&gt;=BM$15,$E11*($B11-BM$15),0)+IF($F11&gt;=BM$15,$I11*($F11-BM$15),0)+IF($J11&gt;=BM$15,$M11*($J11-BM$15),0)+IF($N11&gt;=BM$15,$Q11*($N11-BM$15),0)+IF($R11&gt;=BM$15,$U11*($R11-BM$15),0)+IF($V11&gt;=BM$15,$Y11*($V11-BM$15),0)+IF($Z11&gt;=BM$15,$AC11*($Z11-BM$15),0)+IF('Mast Arm 2 Design'!$D$8="",IF($AD11&gt;=BM$15,$AG11*($AD11-BM$15),0),0)</f>
        <v>64.599999999999994</v>
      </c>
      <c r="BN22" s="138">
        <f>IF($B11&gt;=BN$15,$E11*($B11-BN$15),0)+IF($F11&gt;=BN$15,$I11*($F11-BN$15),0)+IF($J11&gt;=BN$15,$M11*($J11-BN$15),0)+IF($N11&gt;=BN$15,$Q11*($N11-BN$15),0)+IF($R11&gt;=BN$15,$U11*($R11-BN$15),0)+IF($V11&gt;=BN$15,$Y11*($V11-BN$15),0)+IF($Z11&gt;=BN$15,$AC11*($Z11-BN$15),0)+IF('Mast Arm 2 Design'!$D$8="",IF($AD11&gt;=BN$15,$AG11*($AD11-BN$15),0),0)</f>
        <v>30.049999999999997</v>
      </c>
      <c r="BO22" s="139">
        <f>IF($B11&gt;=BO$15,$E11*($B11-BO$15),0)+IF($F11&gt;=BO$15,$I11*($F11-BO$15),0)+IF($J11&gt;=BO$15,$M11*($J11-BO$15),0)+IF($N11&gt;=BO$15,$Q11*($N11-BO$15),0)+IF($R11&gt;=BO$15,$U11*($R11-BO$15),0)+IF($V11&gt;=BO$15,$Y11*($V11-BO$15),0)+IF($Z11&gt;=BO$15,$AC11*($Z11-BO$15),0)+IF('Mast Arm 2 Design'!$D$8="",IF($AD11&gt;=BO$15,$AG11*($AD11-BO$15),0),0)</f>
        <v>0</v>
      </c>
    </row>
  </sheetData>
  <mergeCells count="16">
    <mergeCell ref="V3:Y3"/>
    <mergeCell ref="Z3:AC3"/>
    <mergeCell ref="AD3:AG3"/>
    <mergeCell ref="A3:A4"/>
    <mergeCell ref="B3:E3"/>
    <mergeCell ref="F3:I3"/>
    <mergeCell ref="J3:M3"/>
    <mergeCell ref="N3:Q3"/>
    <mergeCell ref="R3:U3"/>
    <mergeCell ref="AT14:BD14"/>
    <mergeCell ref="BE14:BO14"/>
    <mergeCell ref="A14:A15"/>
    <mergeCell ref="B14:L14"/>
    <mergeCell ref="M14:W14"/>
    <mergeCell ref="X14:AH14"/>
    <mergeCell ref="AI14:AS1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3004-CEE9-426A-A816-C3D994DBD689}">
  <sheetPr>
    <tabColor theme="1"/>
  </sheetPr>
  <dimension ref="A1:AW8"/>
  <sheetViews>
    <sheetView topLeftCell="Q1" workbookViewId="0">
      <selection activeCell="J19" sqref="J19"/>
    </sheetView>
  </sheetViews>
  <sheetFormatPr defaultRowHeight="12.75" x14ac:dyDescent="0.2"/>
  <cols>
    <col min="1" max="1" width="11.28515625" bestFit="1" customWidth="1"/>
    <col min="2" max="2" width="8.28515625" bestFit="1" customWidth="1"/>
    <col min="3" max="3" width="12.5703125" bestFit="1" customWidth="1"/>
    <col min="4" max="4" width="14.5703125" bestFit="1" customWidth="1"/>
    <col min="5" max="5" width="13.5703125" bestFit="1" customWidth="1"/>
    <col min="6" max="6" width="16.5703125" bestFit="1" customWidth="1"/>
    <col min="7" max="7" width="12.7109375" bestFit="1" customWidth="1"/>
    <col min="8" max="8" width="15.42578125" bestFit="1" customWidth="1"/>
    <col min="9" max="9" width="8.28515625" bestFit="1" customWidth="1"/>
    <col min="10" max="10" width="12.5703125" bestFit="1" customWidth="1"/>
    <col min="11" max="11" width="14.5703125" bestFit="1" customWidth="1"/>
    <col min="12" max="12" width="13.5703125" bestFit="1" customWidth="1"/>
    <col min="13" max="13" width="16.5703125" bestFit="1" customWidth="1"/>
    <col min="14" max="14" width="12.7109375" bestFit="1" customWidth="1"/>
    <col min="15" max="15" width="15.42578125" bestFit="1" customWidth="1"/>
    <col min="16" max="16" width="8.28515625" bestFit="1" customWidth="1"/>
    <col min="17" max="17" width="12.5703125" bestFit="1" customWidth="1"/>
    <col min="18" max="18" width="14.5703125" bestFit="1" customWidth="1"/>
    <col min="19" max="19" width="13.5703125" bestFit="1" customWidth="1"/>
    <col min="20" max="20" width="16.5703125" bestFit="1" customWidth="1"/>
    <col min="21" max="21" width="12.7109375" bestFit="1" customWidth="1"/>
    <col min="22" max="22" width="15.42578125" bestFit="1" customWidth="1"/>
    <col min="23" max="23" width="8.28515625" bestFit="1" customWidth="1"/>
    <col min="24" max="24" width="12.5703125" bestFit="1" customWidth="1"/>
    <col min="25" max="25" width="14.5703125" bestFit="1" customWidth="1"/>
    <col min="26" max="26" width="13.5703125" bestFit="1" customWidth="1"/>
    <col min="27" max="27" width="16.5703125" bestFit="1" customWidth="1"/>
    <col min="28" max="28" width="12.7109375" bestFit="1" customWidth="1"/>
    <col min="29" max="29" width="15.42578125" bestFit="1" customWidth="1"/>
    <col min="30" max="30" width="8.28515625" bestFit="1" customWidth="1"/>
    <col min="31" max="31" width="12.5703125" bestFit="1" customWidth="1"/>
    <col min="32" max="32" width="14.5703125" bestFit="1" customWidth="1"/>
    <col min="33" max="33" width="13.5703125" bestFit="1" customWidth="1"/>
    <col min="34" max="34" width="16.5703125" bestFit="1" customWidth="1"/>
    <col min="35" max="35" width="12.7109375" bestFit="1" customWidth="1"/>
    <col min="36" max="36" width="15.42578125" bestFit="1" customWidth="1"/>
    <col min="37" max="37" width="8.28515625" bestFit="1" customWidth="1"/>
    <col min="38" max="38" width="12.5703125" bestFit="1" customWidth="1"/>
    <col min="39" max="39" width="14.5703125" bestFit="1" customWidth="1"/>
    <col min="40" max="40" width="13.5703125" bestFit="1" customWidth="1"/>
    <col min="41" max="41" width="16.5703125" bestFit="1" customWidth="1"/>
    <col min="42" max="42" width="12.7109375" bestFit="1" customWidth="1"/>
    <col min="43" max="43" width="15.42578125" bestFit="1" customWidth="1"/>
    <col min="44" max="44" width="12.5703125" bestFit="1" customWidth="1"/>
    <col min="45" max="45" width="14.5703125" bestFit="1" customWidth="1"/>
    <col min="46" max="46" width="13.5703125" bestFit="1" customWidth="1"/>
    <col min="47" max="47" width="16.5703125" bestFit="1" customWidth="1"/>
    <col min="48" max="48" width="12.7109375" bestFit="1" customWidth="1"/>
    <col min="49" max="50" width="15.42578125" bestFit="1" customWidth="1"/>
  </cols>
  <sheetData>
    <row r="1" spans="1:49" ht="15" x14ac:dyDescent="0.25">
      <c r="A1" s="30"/>
      <c r="B1" s="297" t="s">
        <v>209</v>
      </c>
      <c r="C1" s="298"/>
      <c r="D1" s="298"/>
      <c r="E1" s="298"/>
      <c r="F1" s="298"/>
      <c r="G1" s="298"/>
      <c r="H1" s="299"/>
      <c r="I1" s="297" t="s">
        <v>281</v>
      </c>
      <c r="J1" s="298"/>
      <c r="K1" s="298"/>
      <c r="L1" s="298"/>
      <c r="M1" s="298"/>
      <c r="N1" s="298"/>
      <c r="O1" s="299"/>
      <c r="P1" s="297" t="s">
        <v>101</v>
      </c>
      <c r="Q1" s="298"/>
      <c r="R1" s="298"/>
      <c r="S1" s="298"/>
      <c r="T1" s="298"/>
      <c r="U1" s="298"/>
      <c r="V1" s="299"/>
      <c r="W1" s="297" t="s">
        <v>93</v>
      </c>
      <c r="X1" s="298"/>
      <c r="Y1" s="298"/>
      <c r="Z1" s="298"/>
      <c r="AA1" s="298"/>
      <c r="AB1" s="298"/>
      <c r="AC1" s="299"/>
      <c r="AD1" s="297" t="s">
        <v>282</v>
      </c>
      <c r="AE1" s="298"/>
      <c r="AF1" s="298"/>
      <c r="AG1" s="298"/>
      <c r="AH1" s="298"/>
      <c r="AI1" s="298"/>
      <c r="AJ1" s="299"/>
      <c r="AK1" s="297" t="s">
        <v>283</v>
      </c>
      <c r="AL1" s="298"/>
      <c r="AM1" s="298"/>
      <c r="AN1" s="298"/>
      <c r="AO1" s="298"/>
      <c r="AP1" s="298"/>
      <c r="AQ1" s="299"/>
      <c r="AR1" s="297" t="s">
        <v>130</v>
      </c>
      <c r="AS1" s="298"/>
      <c r="AT1" s="298"/>
      <c r="AU1" s="298"/>
      <c r="AV1" s="298"/>
      <c r="AW1" s="298"/>
    </row>
    <row r="2" spans="1:49" ht="18" x14ac:dyDescent="0.35">
      <c r="A2" s="38" t="s">
        <v>86</v>
      </c>
      <c r="B2" s="38" t="s">
        <v>117</v>
      </c>
      <c r="C2" s="38" t="s">
        <v>118</v>
      </c>
      <c r="D2" s="38" t="s">
        <v>185</v>
      </c>
      <c r="E2" s="38" t="s">
        <v>186</v>
      </c>
      <c r="F2" s="38" t="s">
        <v>279</v>
      </c>
      <c r="G2" s="38" t="s">
        <v>280</v>
      </c>
      <c r="H2" s="38" t="s">
        <v>155</v>
      </c>
      <c r="I2" s="38" t="s">
        <v>117</v>
      </c>
      <c r="J2" s="38" t="s">
        <v>118</v>
      </c>
      <c r="K2" s="38" t="s">
        <v>185</v>
      </c>
      <c r="L2" s="38" t="s">
        <v>186</v>
      </c>
      <c r="M2" s="38" t="s">
        <v>279</v>
      </c>
      <c r="N2" s="38" t="s">
        <v>280</v>
      </c>
      <c r="O2" s="38" t="s">
        <v>155</v>
      </c>
      <c r="P2" s="38" t="s">
        <v>117</v>
      </c>
      <c r="Q2" s="38" t="s">
        <v>118</v>
      </c>
      <c r="R2" s="38" t="s">
        <v>185</v>
      </c>
      <c r="S2" s="38" t="s">
        <v>186</v>
      </c>
      <c r="T2" s="38" t="s">
        <v>279</v>
      </c>
      <c r="U2" s="38" t="s">
        <v>280</v>
      </c>
      <c r="V2" s="38" t="s">
        <v>155</v>
      </c>
      <c r="W2" s="38" t="s">
        <v>117</v>
      </c>
      <c r="X2" s="38" t="s">
        <v>118</v>
      </c>
      <c r="Y2" s="38" t="s">
        <v>185</v>
      </c>
      <c r="Z2" s="38" t="s">
        <v>186</v>
      </c>
      <c r="AA2" s="38" t="s">
        <v>279</v>
      </c>
      <c r="AB2" s="38" t="s">
        <v>280</v>
      </c>
      <c r="AC2" s="38" t="s">
        <v>155</v>
      </c>
      <c r="AD2" s="38" t="s">
        <v>117</v>
      </c>
      <c r="AE2" s="38" t="s">
        <v>118</v>
      </c>
      <c r="AF2" s="38" t="s">
        <v>185</v>
      </c>
      <c r="AG2" s="38" t="s">
        <v>186</v>
      </c>
      <c r="AH2" s="38" t="s">
        <v>279</v>
      </c>
      <c r="AI2" s="38" t="s">
        <v>280</v>
      </c>
      <c r="AJ2" s="38" t="s">
        <v>155</v>
      </c>
      <c r="AK2" s="38" t="s">
        <v>117</v>
      </c>
      <c r="AL2" s="38" t="s">
        <v>118</v>
      </c>
      <c r="AM2" s="38" t="s">
        <v>185</v>
      </c>
      <c r="AN2" s="38" t="s">
        <v>186</v>
      </c>
      <c r="AO2" s="38" t="s">
        <v>279</v>
      </c>
      <c r="AP2" s="38" t="s">
        <v>280</v>
      </c>
      <c r="AQ2" s="38" t="s">
        <v>155</v>
      </c>
      <c r="AR2" s="38" t="s">
        <v>118</v>
      </c>
      <c r="AS2" s="38" t="s">
        <v>185</v>
      </c>
      <c r="AT2" s="38" t="s">
        <v>186</v>
      </c>
      <c r="AU2" s="38" t="s">
        <v>279</v>
      </c>
      <c r="AV2" s="38" t="s">
        <v>280</v>
      </c>
      <c r="AW2" s="38" t="s">
        <v>155</v>
      </c>
    </row>
    <row r="3" spans="1:49" x14ac:dyDescent="0.2">
      <c r="A3" s="30">
        <v>21</v>
      </c>
      <c r="B3" s="97">
        <f>A3+3.25/12</f>
        <v>21.270833333333332</v>
      </c>
      <c r="C3" s="36">
        <v>22.4</v>
      </c>
      <c r="D3" s="100">
        <v>2.11</v>
      </c>
      <c r="E3" s="97">
        <f>D3*B3</f>
        <v>44.881458333333327</v>
      </c>
      <c r="F3" s="97">
        <f>D3</f>
        <v>2.11</v>
      </c>
      <c r="G3" s="97">
        <f>F3*B3</f>
        <v>44.881458333333327</v>
      </c>
      <c r="H3" s="97">
        <f>C3*B3</f>
        <v>476.46666666666658</v>
      </c>
      <c r="I3" s="97">
        <v>12.67</v>
      </c>
      <c r="J3" s="31">
        <v>30</v>
      </c>
      <c r="K3" s="31">
        <v>0.75</v>
      </c>
      <c r="L3" s="97">
        <f>K3*I3</f>
        <v>9.5024999999999995</v>
      </c>
      <c r="M3" s="31">
        <v>0.75</v>
      </c>
      <c r="N3" s="97">
        <f>M3*I3</f>
        <v>9.5024999999999995</v>
      </c>
      <c r="O3" s="97">
        <f>J3*I3</f>
        <v>380.1</v>
      </c>
      <c r="P3" s="97">
        <f>A3-0.5+2</f>
        <v>22.5</v>
      </c>
      <c r="Q3" s="31">
        <v>50</v>
      </c>
      <c r="R3" s="98">
        <v>1</v>
      </c>
      <c r="S3" s="97">
        <f>R3*P3</f>
        <v>22.5</v>
      </c>
      <c r="T3" s="31">
        <v>1</v>
      </c>
      <c r="U3" s="97">
        <f>T3*P3</f>
        <v>22.5</v>
      </c>
      <c r="V3" s="97">
        <f>Q3*P3</f>
        <v>1125</v>
      </c>
      <c r="W3" s="97">
        <f>A3-0.5+1</f>
        <v>21.5</v>
      </c>
      <c r="X3" s="31">
        <v>40</v>
      </c>
      <c r="Y3" s="31">
        <v>4.0449999999999999</v>
      </c>
      <c r="Z3" s="97">
        <f>Y3*W3</f>
        <v>86.967500000000001</v>
      </c>
      <c r="AA3" s="31">
        <v>4.0449999999999999</v>
      </c>
      <c r="AB3" s="97">
        <f>AA3*W3</f>
        <v>86.967500000000001</v>
      </c>
      <c r="AC3" s="97">
        <f>X3*W3</f>
        <v>860</v>
      </c>
      <c r="AD3" s="97">
        <v>9.6667000000000005</v>
      </c>
      <c r="AE3" s="31">
        <v>25</v>
      </c>
      <c r="AF3" s="31">
        <v>1.778</v>
      </c>
      <c r="AG3" s="97">
        <f>AF3*AD3</f>
        <v>17.187392600000003</v>
      </c>
      <c r="AH3" s="31">
        <v>0.88900000000000001</v>
      </c>
      <c r="AI3" s="97">
        <f>AH3*AD3</f>
        <v>8.5936963000000013</v>
      </c>
      <c r="AJ3" s="97">
        <f>AE3*AD3</f>
        <v>241.66750000000002</v>
      </c>
      <c r="AK3" s="97">
        <v>10.333299999999999</v>
      </c>
      <c r="AL3" s="31">
        <v>43</v>
      </c>
      <c r="AM3" s="31">
        <v>8.67</v>
      </c>
      <c r="AN3" s="97">
        <f>AM3*AK3</f>
        <v>89.589710999999994</v>
      </c>
      <c r="AO3" s="31">
        <v>4.68</v>
      </c>
      <c r="AP3" s="97">
        <f>AO3*AK3</f>
        <v>48.359843999999995</v>
      </c>
      <c r="AQ3" s="97">
        <f>AL3*AK3</f>
        <v>444.33189999999996</v>
      </c>
      <c r="AR3" s="98">
        <f>SUM(C3,J3,Q3,X3,2*AE3,AL3)</f>
        <v>235.4</v>
      </c>
      <c r="AS3" s="97">
        <f>SUM(D3,K3,R3,Y3,2*AF3,AM3)</f>
        <v>20.131</v>
      </c>
      <c r="AT3" s="97">
        <f>SUM(E3,L3,S3,Z3,2*AG3,AN3)</f>
        <v>287.8159545333333</v>
      </c>
      <c r="AU3" s="31">
        <f>SUM(F3,M3,T3,Y3,2*AH3,AO3)</f>
        <v>14.363</v>
      </c>
      <c r="AV3" s="97">
        <f>SUM(G3,N3,U3,Z3,2*AG3,AP3)</f>
        <v>246.58608753333334</v>
      </c>
      <c r="AW3" s="97">
        <f>SUM(H3,O3,V3,AC3,2*AJ3,AQ3)</f>
        <v>3769.2335666666668</v>
      </c>
    </row>
    <row r="4" spans="1:49" x14ac:dyDescent="0.2">
      <c r="A4" s="30">
        <v>23</v>
      </c>
      <c r="B4" s="97">
        <f t="shared" ref="B4:B8" si="0">A4+3.25/12</f>
        <v>23.270833333333332</v>
      </c>
      <c r="C4" s="36">
        <v>22.4</v>
      </c>
      <c r="D4" s="100">
        <v>2.11</v>
      </c>
      <c r="E4" s="97">
        <f t="shared" ref="E4:E8" si="1">D4*B4</f>
        <v>49.101458333333326</v>
      </c>
      <c r="F4" s="97">
        <f t="shared" ref="F4:F8" si="2">D4</f>
        <v>2.11</v>
      </c>
      <c r="G4" s="97">
        <f t="shared" ref="G4:G8" si="3">F4*B4</f>
        <v>49.101458333333326</v>
      </c>
      <c r="H4" s="97">
        <f t="shared" ref="H4:H8" si="4">C4*B4</f>
        <v>521.26666666666665</v>
      </c>
      <c r="I4" s="97">
        <v>12.67</v>
      </c>
      <c r="J4" s="31">
        <v>30</v>
      </c>
      <c r="K4" s="31">
        <v>0.75</v>
      </c>
      <c r="L4" s="97">
        <f t="shared" ref="L4:L8" si="5">K4*I4</f>
        <v>9.5024999999999995</v>
      </c>
      <c r="M4" s="31">
        <v>0.75</v>
      </c>
      <c r="N4" s="97">
        <f t="shared" ref="N4:N8" si="6">M4*I4</f>
        <v>9.5024999999999995</v>
      </c>
      <c r="O4" s="97">
        <f t="shared" ref="O4:O8" si="7">J4*I4</f>
        <v>380.1</v>
      </c>
      <c r="P4" s="97">
        <f t="shared" ref="P4:P8" si="8">A4-0.5+2</f>
        <v>24.5</v>
      </c>
      <c r="Q4" s="31">
        <v>50</v>
      </c>
      <c r="R4" s="98">
        <v>1</v>
      </c>
      <c r="S4" s="97">
        <f>R4*P4</f>
        <v>24.5</v>
      </c>
      <c r="T4" s="31">
        <v>1</v>
      </c>
      <c r="U4" s="97">
        <f t="shared" ref="U4:U8" si="9">T4*P4</f>
        <v>24.5</v>
      </c>
      <c r="V4" s="97">
        <f t="shared" ref="V4:V8" si="10">Q4*P4</f>
        <v>1225</v>
      </c>
      <c r="W4" s="97">
        <f t="shared" ref="W4:W7" si="11">A4-0.5+1</f>
        <v>23.5</v>
      </c>
      <c r="X4" s="31">
        <v>40</v>
      </c>
      <c r="Y4" s="31">
        <v>4.0449999999999999</v>
      </c>
      <c r="Z4" s="97">
        <f>Y4*W4</f>
        <v>95.057500000000005</v>
      </c>
      <c r="AA4" s="31">
        <v>4.0449999999999999</v>
      </c>
      <c r="AB4" s="97">
        <f t="shared" ref="AB4:AB8" si="12">AA4*W4</f>
        <v>95.057500000000005</v>
      </c>
      <c r="AC4" s="97">
        <f t="shared" ref="AC4:AC8" si="13">X4*W4</f>
        <v>940</v>
      </c>
      <c r="AD4" s="97">
        <v>9.6667000000000005</v>
      </c>
      <c r="AE4" s="31">
        <v>25</v>
      </c>
      <c r="AF4" s="31">
        <v>1.778</v>
      </c>
      <c r="AG4" s="97">
        <f t="shared" ref="AG4:AG8" si="14">AF4*AD4</f>
        <v>17.187392600000003</v>
      </c>
      <c r="AH4" s="31">
        <v>0.88900000000000001</v>
      </c>
      <c r="AI4" s="97">
        <f t="shared" ref="AI4:AI8" si="15">AH4*AD4</f>
        <v>8.5936963000000013</v>
      </c>
      <c r="AJ4" s="97">
        <f t="shared" ref="AJ4:AJ8" si="16">AE4*AD4</f>
        <v>241.66750000000002</v>
      </c>
      <c r="AK4" s="97">
        <v>10.333299999999999</v>
      </c>
      <c r="AL4" s="31">
        <v>43</v>
      </c>
      <c r="AM4" s="31">
        <v>8.67</v>
      </c>
      <c r="AN4" s="97">
        <f t="shared" ref="AN4:AN8" si="17">AM4*AK4</f>
        <v>89.589710999999994</v>
      </c>
      <c r="AO4" s="31">
        <v>4.68</v>
      </c>
      <c r="AP4" s="97">
        <f t="shared" ref="AP4:AP8" si="18">AO4*AK4</f>
        <v>48.359843999999995</v>
      </c>
      <c r="AQ4" s="97">
        <f t="shared" ref="AQ4:AQ8" si="19">AL4*AK4</f>
        <v>444.33189999999996</v>
      </c>
      <c r="AR4" s="98">
        <f t="shared" ref="AR4:AR7" si="20">SUM(C4,J4,Q4,X4,2*AE4,AL4)</f>
        <v>235.4</v>
      </c>
      <c r="AS4" s="97">
        <f t="shared" ref="AS4:AS8" si="21">SUM(D4,K4,R4,Y4,2*AF4,AM4)</f>
        <v>20.131</v>
      </c>
      <c r="AT4" s="97">
        <f t="shared" ref="AT4:AT8" si="22">SUM(E4,L4,S4,Z4,2*AG4,AN4)</f>
        <v>302.12595453333336</v>
      </c>
      <c r="AU4" s="31">
        <f t="shared" ref="AU4:AU8" si="23">SUM(F4,M4,T4,Y4,2*AH4,AO4)</f>
        <v>14.363</v>
      </c>
      <c r="AV4" s="97">
        <f t="shared" ref="AV4:AV8" si="24">SUM(G4,N4,U4,Z4,2*AG4,AP4)</f>
        <v>260.89608753333334</v>
      </c>
      <c r="AW4" s="97">
        <f t="shared" ref="AW4:AW8" si="25">SUM(H4,O4,V4,AC4,2*AJ4)</f>
        <v>3549.7016666666668</v>
      </c>
    </row>
    <row r="5" spans="1:49" x14ac:dyDescent="0.2">
      <c r="A5" s="30">
        <v>29</v>
      </c>
      <c r="B5" s="97">
        <f t="shared" si="0"/>
        <v>29.270833333333332</v>
      </c>
      <c r="C5" s="36">
        <v>22.4</v>
      </c>
      <c r="D5" s="100">
        <v>2.11</v>
      </c>
      <c r="E5" s="97">
        <f t="shared" si="1"/>
        <v>61.76145833333333</v>
      </c>
      <c r="F5" s="97">
        <f t="shared" si="2"/>
        <v>2.11</v>
      </c>
      <c r="G5" s="97">
        <f t="shared" si="3"/>
        <v>61.76145833333333</v>
      </c>
      <c r="H5" s="97">
        <f t="shared" si="4"/>
        <v>655.66666666666663</v>
      </c>
      <c r="I5" s="97">
        <v>12.67</v>
      </c>
      <c r="J5" s="31">
        <v>30</v>
      </c>
      <c r="K5" s="31">
        <v>0.75</v>
      </c>
      <c r="L5" s="97">
        <f t="shared" si="5"/>
        <v>9.5024999999999995</v>
      </c>
      <c r="M5" s="31">
        <v>0.75</v>
      </c>
      <c r="N5" s="97">
        <f t="shared" si="6"/>
        <v>9.5024999999999995</v>
      </c>
      <c r="O5" s="97">
        <f t="shared" si="7"/>
        <v>380.1</v>
      </c>
      <c r="P5" s="97">
        <f t="shared" si="8"/>
        <v>30.5</v>
      </c>
      <c r="Q5" s="31">
        <v>50</v>
      </c>
      <c r="R5" s="98">
        <v>1</v>
      </c>
      <c r="S5" s="97">
        <f t="shared" ref="S5:S8" si="26">R5*P5</f>
        <v>30.5</v>
      </c>
      <c r="T5" s="31">
        <v>1</v>
      </c>
      <c r="U5" s="97">
        <f t="shared" si="9"/>
        <v>30.5</v>
      </c>
      <c r="V5" s="97">
        <f t="shared" si="10"/>
        <v>1525</v>
      </c>
      <c r="W5" s="97">
        <f t="shared" si="11"/>
        <v>29.5</v>
      </c>
      <c r="X5" s="31">
        <v>40</v>
      </c>
      <c r="Y5" s="31">
        <v>4.0449999999999999</v>
      </c>
      <c r="Z5" s="97">
        <f t="shared" ref="Z5:Z8" si="27">Y5*W5</f>
        <v>119.3275</v>
      </c>
      <c r="AA5" s="31">
        <v>4.0449999999999999</v>
      </c>
      <c r="AB5" s="97">
        <f t="shared" si="12"/>
        <v>119.3275</v>
      </c>
      <c r="AC5" s="97">
        <f t="shared" si="13"/>
        <v>1180</v>
      </c>
      <c r="AD5" s="97">
        <v>9.6667000000000005</v>
      </c>
      <c r="AE5" s="31">
        <v>25</v>
      </c>
      <c r="AF5" s="31">
        <v>1.778</v>
      </c>
      <c r="AG5" s="97">
        <f t="shared" si="14"/>
        <v>17.187392600000003</v>
      </c>
      <c r="AH5" s="31">
        <v>0.88900000000000001</v>
      </c>
      <c r="AI5" s="97">
        <f t="shared" si="15"/>
        <v>8.5936963000000013</v>
      </c>
      <c r="AJ5" s="97">
        <f t="shared" si="16"/>
        <v>241.66750000000002</v>
      </c>
      <c r="AK5" s="97">
        <v>10.333299999999999</v>
      </c>
      <c r="AL5" s="31">
        <v>43</v>
      </c>
      <c r="AM5" s="31">
        <v>8.67</v>
      </c>
      <c r="AN5" s="97">
        <f t="shared" si="17"/>
        <v>89.589710999999994</v>
      </c>
      <c r="AO5" s="31">
        <v>4.68</v>
      </c>
      <c r="AP5" s="97">
        <f t="shared" si="18"/>
        <v>48.359843999999995</v>
      </c>
      <c r="AQ5" s="97">
        <f t="shared" si="19"/>
        <v>444.33189999999996</v>
      </c>
      <c r="AR5" s="98">
        <f t="shared" si="20"/>
        <v>235.4</v>
      </c>
      <c r="AS5" s="97">
        <f t="shared" si="21"/>
        <v>20.131</v>
      </c>
      <c r="AT5" s="97">
        <f t="shared" si="22"/>
        <v>345.05595453333331</v>
      </c>
      <c r="AU5" s="31">
        <f t="shared" si="23"/>
        <v>14.363</v>
      </c>
      <c r="AV5" s="97">
        <f t="shared" si="24"/>
        <v>303.82608753333335</v>
      </c>
      <c r="AW5" s="97">
        <f t="shared" si="25"/>
        <v>4224.1016666666665</v>
      </c>
    </row>
    <row r="6" spans="1:49" x14ac:dyDescent="0.2">
      <c r="A6" s="30">
        <v>30</v>
      </c>
      <c r="B6" s="97">
        <f t="shared" si="0"/>
        <v>30.270833333333332</v>
      </c>
      <c r="C6" s="36">
        <v>22.4</v>
      </c>
      <c r="D6" s="100">
        <v>2.11</v>
      </c>
      <c r="E6" s="97">
        <f t="shared" si="1"/>
        <v>63.871458333333329</v>
      </c>
      <c r="F6" s="97">
        <f t="shared" si="2"/>
        <v>2.11</v>
      </c>
      <c r="G6" s="97">
        <f t="shared" si="3"/>
        <v>63.871458333333329</v>
      </c>
      <c r="H6" s="97">
        <f t="shared" si="4"/>
        <v>678.06666666666661</v>
      </c>
      <c r="I6" s="97">
        <v>12.67</v>
      </c>
      <c r="J6" s="31">
        <v>30</v>
      </c>
      <c r="K6" s="31">
        <v>0.75</v>
      </c>
      <c r="L6" s="97">
        <f t="shared" si="5"/>
        <v>9.5024999999999995</v>
      </c>
      <c r="M6" s="31">
        <v>0.75</v>
      </c>
      <c r="N6" s="97">
        <f t="shared" si="6"/>
        <v>9.5024999999999995</v>
      </c>
      <c r="O6" s="97">
        <f t="shared" si="7"/>
        <v>380.1</v>
      </c>
      <c r="P6" s="97">
        <f t="shared" si="8"/>
        <v>31.5</v>
      </c>
      <c r="Q6" s="31">
        <v>50</v>
      </c>
      <c r="R6" s="98">
        <v>1</v>
      </c>
      <c r="S6" s="97">
        <f t="shared" si="26"/>
        <v>31.5</v>
      </c>
      <c r="T6" s="31">
        <v>1</v>
      </c>
      <c r="U6" s="97">
        <f t="shared" si="9"/>
        <v>31.5</v>
      </c>
      <c r="V6" s="97">
        <f t="shared" si="10"/>
        <v>1575</v>
      </c>
      <c r="W6" s="97">
        <f t="shared" si="11"/>
        <v>30.5</v>
      </c>
      <c r="X6" s="31">
        <v>40</v>
      </c>
      <c r="Y6" s="31">
        <v>4.0449999999999999</v>
      </c>
      <c r="Z6" s="97">
        <f t="shared" si="27"/>
        <v>123.3725</v>
      </c>
      <c r="AA6" s="31">
        <v>4.0449999999999999</v>
      </c>
      <c r="AB6" s="97">
        <f t="shared" si="12"/>
        <v>123.3725</v>
      </c>
      <c r="AC6" s="97">
        <f t="shared" si="13"/>
        <v>1220</v>
      </c>
      <c r="AD6" s="97">
        <v>9.6667000000000005</v>
      </c>
      <c r="AE6" s="31">
        <v>25</v>
      </c>
      <c r="AF6" s="31">
        <v>1.778</v>
      </c>
      <c r="AG6" s="97">
        <f>AF6*AD6</f>
        <v>17.187392600000003</v>
      </c>
      <c r="AH6" s="31">
        <v>0.88900000000000001</v>
      </c>
      <c r="AI6" s="97">
        <f t="shared" si="15"/>
        <v>8.5936963000000013</v>
      </c>
      <c r="AJ6" s="97">
        <f t="shared" si="16"/>
        <v>241.66750000000002</v>
      </c>
      <c r="AK6" s="97">
        <v>10.333299999999999</v>
      </c>
      <c r="AL6" s="31">
        <v>43</v>
      </c>
      <c r="AM6" s="31">
        <v>8.67</v>
      </c>
      <c r="AN6" s="97">
        <f t="shared" si="17"/>
        <v>89.589710999999994</v>
      </c>
      <c r="AO6" s="31">
        <v>4.68</v>
      </c>
      <c r="AP6" s="97">
        <f t="shared" si="18"/>
        <v>48.359843999999995</v>
      </c>
      <c r="AQ6" s="97">
        <f t="shared" si="19"/>
        <v>444.33189999999996</v>
      </c>
      <c r="AR6" s="98">
        <f t="shared" si="20"/>
        <v>235.4</v>
      </c>
      <c r="AS6" s="97">
        <f t="shared" si="21"/>
        <v>20.131</v>
      </c>
      <c r="AT6" s="97">
        <f t="shared" si="22"/>
        <v>352.21095453333339</v>
      </c>
      <c r="AU6" s="31">
        <f t="shared" si="23"/>
        <v>14.363</v>
      </c>
      <c r="AV6" s="97">
        <f t="shared" si="24"/>
        <v>310.98108753333338</v>
      </c>
      <c r="AW6" s="97">
        <f t="shared" si="25"/>
        <v>4336.501666666667</v>
      </c>
    </row>
    <row r="7" spans="1:49" x14ac:dyDescent="0.2">
      <c r="A7" s="30">
        <v>36</v>
      </c>
      <c r="B7" s="97">
        <f t="shared" si="0"/>
        <v>36.270833333333336</v>
      </c>
      <c r="C7" s="36">
        <v>22.4</v>
      </c>
      <c r="D7" s="100">
        <v>2.11</v>
      </c>
      <c r="E7" s="97">
        <f t="shared" si="1"/>
        <v>76.531458333333333</v>
      </c>
      <c r="F7" s="97">
        <f t="shared" si="2"/>
        <v>2.11</v>
      </c>
      <c r="G7" s="97">
        <f t="shared" si="3"/>
        <v>76.531458333333333</v>
      </c>
      <c r="H7" s="97">
        <f t="shared" si="4"/>
        <v>812.4666666666667</v>
      </c>
      <c r="I7" s="97">
        <v>12.67</v>
      </c>
      <c r="J7" s="31">
        <v>30</v>
      </c>
      <c r="K7" s="31">
        <v>0.75</v>
      </c>
      <c r="L7" s="97">
        <f t="shared" si="5"/>
        <v>9.5024999999999995</v>
      </c>
      <c r="M7" s="31">
        <v>0.75</v>
      </c>
      <c r="N7" s="97">
        <f t="shared" si="6"/>
        <v>9.5024999999999995</v>
      </c>
      <c r="O7" s="97">
        <f t="shared" si="7"/>
        <v>380.1</v>
      </c>
      <c r="P7" s="97">
        <f t="shared" si="8"/>
        <v>37.5</v>
      </c>
      <c r="Q7" s="31">
        <v>50</v>
      </c>
      <c r="R7" s="98">
        <v>1</v>
      </c>
      <c r="S7" s="97">
        <f t="shared" si="26"/>
        <v>37.5</v>
      </c>
      <c r="T7" s="31">
        <v>1</v>
      </c>
      <c r="U7" s="97">
        <f t="shared" si="9"/>
        <v>37.5</v>
      </c>
      <c r="V7" s="97">
        <f t="shared" si="10"/>
        <v>1875</v>
      </c>
      <c r="W7" s="97">
        <f t="shared" si="11"/>
        <v>36.5</v>
      </c>
      <c r="X7" s="31">
        <v>40</v>
      </c>
      <c r="Y7" s="31">
        <v>4.0449999999999999</v>
      </c>
      <c r="Z7" s="97">
        <f t="shared" si="27"/>
        <v>147.64249999999998</v>
      </c>
      <c r="AA7" s="31">
        <v>4.0449999999999999</v>
      </c>
      <c r="AB7" s="97">
        <f t="shared" si="12"/>
        <v>147.64249999999998</v>
      </c>
      <c r="AC7" s="97">
        <f t="shared" si="13"/>
        <v>1460</v>
      </c>
      <c r="AD7" s="97">
        <v>9.6667000000000005</v>
      </c>
      <c r="AE7" s="31">
        <v>25</v>
      </c>
      <c r="AF7" s="31">
        <v>1.778</v>
      </c>
      <c r="AG7" s="97">
        <f>AF7*AD7</f>
        <v>17.187392600000003</v>
      </c>
      <c r="AH7" s="31">
        <v>0.88900000000000001</v>
      </c>
      <c r="AI7" s="97">
        <f t="shared" si="15"/>
        <v>8.5936963000000013</v>
      </c>
      <c r="AJ7" s="97">
        <f t="shared" si="16"/>
        <v>241.66750000000002</v>
      </c>
      <c r="AK7" s="97">
        <v>10.333299999999999</v>
      </c>
      <c r="AL7" s="31">
        <v>43</v>
      </c>
      <c r="AM7" s="31">
        <v>8.67</v>
      </c>
      <c r="AN7" s="97">
        <f t="shared" si="17"/>
        <v>89.589710999999994</v>
      </c>
      <c r="AO7" s="31">
        <v>4.68</v>
      </c>
      <c r="AP7" s="97">
        <f t="shared" si="18"/>
        <v>48.359843999999995</v>
      </c>
      <c r="AQ7" s="97">
        <f t="shared" si="19"/>
        <v>444.33189999999996</v>
      </c>
      <c r="AR7" s="98">
        <f t="shared" si="20"/>
        <v>235.4</v>
      </c>
      <c r="AS7" s="97">
        <f t="shared" si="21"/>
        <v>20.131</v>
      </c>
      <c r="AT7" s="97">
        <f t="shared" si="22"/>
        <v>395.14095453333334</v>
      </c>
      <c r="AU7" s="31">
        <f t="shared" si="23"/>
        <v>14.363</v>
      </c>
      <c r="AV7" s="97">
        <f t="shared" si="24"/>
        <v>353.91108753333333</v>
      </c>
      <c r="AW7" s="97">
        <f t="shared" si="25"/>
        <v>5010.9016666666666</v>
      </c>
    </row>
    <row r="8" spans="1:49" x14ac:dyDescent="0.2">
      <c r="A8" s="30">
        <v>40</v>
      </c>
      <c r="B8" s="97">
        <f t="shared" si="0"/>
        <v>40.270833333333336</v>
      </c>
      <c r="C8" s="36">
        <v>22.4</v>
      </c>
      <c r="D8" s="100">
        <v>2.11</v>
      </c>
      <c r="E8" s="97">
        <f t="shared" si="1"/>
        <v>84.971458333333331</v>
      </c>
      <c r="F8" s="97">
        <f t="shared" si="2"/>
        <v>2.11</v>
      </c>
      <c r="G8" s="97">
        <f t="shared" si="3"/>
        <v>84.971458333333331</v>
      </c>
      <c r="H8" s="97">
        <f t="shared" si="4"/>
        <v>902.06666666666661</v>
      </c>
      <c r="I8" s="97">
        <v>12.67</v>
      </c>
      <c r="J8" s="31">
        <v>30</v>
      </c>
      <c r="K8" s="31">
        <v>0.75</v>
      </c>
      <c r="L8" s="97">
        <f t="shared" si="5"/>
        <v>9.5024999999999995</v>
      </c>
      <c r="M8" s="31">
        <v>0.75</v>
      </c>
      <c r="N8" s="97">
        <f t="shared" si="6"/>
        <v>9.5024999999999995</v>
      </c>
      <c r="O8" s="97">
        <f t="shared" si="7"/>
        <v>380.1</v>
      </c>
      <c r="P8" s="97">
        <f t="shared" si="8"/>
        <v>41.5</v>
      </c>
      <c r="Q8" s="31">
        <v>50</v>
      </c>
      <c r="R8" s="98">
        <v>1</v>
      </c>
      <c r="S8" s="97">
        <f t="shared" si="26"/>
        <v>41.5</v>
      </c>
      <c r="T8" s="31">
        <v>1</v>
      </c>
      <c r="U8" s="97">
        <f t="shared" si="9"/>
        <v>41.5</v>
      </c>
      <c r="V8" s="97">
        <f t="shared" si="10"/>
        <v>2075</v>
      </c>
      <c r="W8" s="97">
        <f>A8-0.5+5</f>
        <v>44.5</v>
      </c>
      <c r="X8" s="31">
        <v>126</v>
      </c>
      <c r="Y8" s="31">
        <v>16.087</v>
      </c>
      <c r="Z8" s="97">
        <f t="shared" si="27"/>
        <v>715.87149999999997</v>
      </c>
      <c r="AA8" s="31">
        <v>16.087</v>
      </c>
      <c r="AB8" s="97">
        <f t="shared" si="12"/>
        <v>715.87149999999997</v>
      </c>
      <c r="AC8" s="97">
        <f t="shared" si="13"/>
        <v>5607</v>
      </c>
      <c r="AD8" s="97">
        <v>9.6667000000000005</v>
      </c>
      <c r="AE8" s="31">
        <v>25</v>
      </c>
      <c r="AF8" s="31">
        <v>1.778</v>
      </c>
      <c r="AG8" s="97">
        <f t="shared" si="14"/>
        <v>17.187392600000003</v>
      </c>
      <c r="AH8" s="31">
        <v>0.88900000000000001</v>
      </c>
      <c r="AI8" s="97">
        <f t="shared" si="15"/>
        <v>8.5936963000000013</v>
      </c>
      <c r="AJ8" s="97">
        <f t="shared" si="16"/>
        <v>241.66750000000002</v>
      </c>
      <c r="AK8" s="97">
        <v>10.333299999999999</v>
      </c>
      <c r="AL8" s="31">
        <v>43</v>
      </c>
      <c r="AM8" s="31">
        <v>8.67</v>
      </c>
      <c r="AN8" s="97">
        <f t="shared" si="17"/>
        <v>89.589710999999994</v>
      </c>
      <c r="AO8" s="31">
        <v>4.68</v>
      </c>
      <c r="AP8" s="97">
        <f t="shared" si="18"/>
        <v>48.359843999999995</v>
      </c>
      <c r="AQ8" s="97">
        <f t="shared" si="19"/>
        <v>444.33189999999996</v>
      </c>
      <c r="AR8" s="98">
        <f>SUM(C8,J8,Q8,X8,2*AE8,AL8)</f>
        <v>321.39999999999998</v>
      </c>
      <c r="AS8" s="97">
        <f t="shared" si="21"/>
        <v>32.173000000000002</v>
      </c>
      <c r="AT8" s="97">
        <f t="shared" si="22"/>
        <v>975.80995453333321</v>
      </c>
      <c r="AU8" s="31">
        <f t="shared" si="23"/>
        <v>26.404999999999998</v>
      </c>
      <c r="AV8" s="97">
        <f t="shared" si="24"/>
        <v>934.5800875333332</v>
      </c>
      <c r="AW8" s="97">
        <f t="shared" si="25"/>
        <v>9447.501666666667</v>
      </c>
    </row>
  </sheetData>
  <mergeCells count="7">
    <mergeCell ref="AR1:AW1"/>
    <mergeCell ref="B1:H1"/>
    <mergeCell ref="I1:O1"/>
    <mergeCell ref="P1:V1"/>
    <mergeCell ref="W1:AC1"/>
    <mergeCell ref="AD1:AJ1"/>
    <mergeCell ref="AK1:AQ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2EDB-CDB6-428F-97C6-5E8E8B8C00F2}">
  <sheetPr>
    <tabColor theme="1"/>
  </sheetPr>
  <dimension ref="A2:BP20"/>
  <sheetViews>
    <sheetView topLeftCell="E1" workbookViewId="0">
      <selection activeCell="J19" sqref="J19"/>
    </sheetView>
  </sheetViews>
  <sheetFormatPr defaultColWidth="9.140625" defaultRowHeight="12.75" x14ac:dyDescent="0.2"/>
  <cols>
    <col min="1" max="1" width="16.28515625" bestFit="1" customWidth="1"/>
    <col min="2" max="2" width="16.28515625" customWidth="1"/>
    <col min="3" max="3" width="10.140625" bestFit="1" customWidth="1"/>
    <col min="4" max="4" width="11.85546875" bestFit="1" customWidth="1"/>
    <col min="7" max="7" width="10.140625" bestFit="1" customWidth="1"/>
    <col min="8" max="8" width="11.85546875" bestFit="1" customWidth="1"/>
    <col min="9" max="9" width="8.85546875" bestFit="1" customWidth="1"/>
    <col min="10" max="10" width="8.140625" bestFit="1" customWidth="1"/>
    <col min="11" max="11" width="10.140625" bestFit="1" customWidth="1"/>
    <col min="12" max="12" width="11.85546875" bestFit="1" customWidth="1"/>
    <col min="13" max="13" width="8.85546875" bestFit="1" customWidth="1"/>
    <col min="14" max="14" width="8.140625" bestFit="1" customWidth="1"/>
    <col min="15" max="15" width="10.140625" bestFit="1" customWidth="1"/>
    <col min="16" max="16" width="11.85546875" bestFit="1" customWidth="1"/>
    <col min="17" max="17" width="8.85546875" bestFit="1" customWidth="1"/>
    <col min="18" max="18" width="8.140625" bestFit="1" customWidth="1"/>
    <col min="19" max="19" width="10.140625" bestFit="1" customWidth="1"/>
    <col min="20" max="20" width="11.85546875" bestFit="1" customWidth="1"/>
    <col min="21" max="21" width="8.85546875" bestFit="1" customWidth="1"/>
    <col min="22" max="22" width="8.140625" bestFit="1" customWidth="1"/>
    <col min="23" max="23" width="10.140625" bestFit="1" customWidth="1"/>
    <col min="24" max="24" width="11.85546875" bestFit="1" customWidth="1"/>
    <col min="25" max="25" width="8.85546875" bestFit="1" customWidth="1"/>
    <col min="26" max="26" width="8.140625" bestFit="1" customWidth="1"/>
  </cols>
  <sheetData>
    <row r="2" spans="1:68" ht="13.5" thickBot="1" x14ac:dyDescent="0.25">
      <c r="A2" t="s">
        <v>306</v>
      </c>
    </row>
    <row r="3" spans="1:68" x14ac:dyDescent="0.2">
      <c r="A3" s="310" t="s">
        <v>23</v>
      </c>
      <c r="B3" s="265" t="s">
        <v>212</v>
      </c>
      <c r="C3" s="266"/>
      <c r="D3" s="266"/>
      <c r="E3" s="268"/>
      <c r="F3" s="265" t="s">
        <v>281</v>
      </c>
      <c r="G3" s="266"/>
      <c r="H3" s="266"/>
      <c r="I3" s="267"/>
      <c r="J3" s="271" t="s">
        <v>101</v>
      </c>
      <c r="K3" s="266"/>
      <c r="L3" s="266"/>
      <c r="M3" s="268"/>
      <c r="N3" s="265" t="s">
        <v>93</v>
      </c>
      <c r="O3" s="266"/>
      <c r="P3" s="266"/>
      <c r="Q3" s="267"/>
      <c r="R3" s="271" t="s">
        <v>335</v>
      </c>
      <c r="S3" s="266"/>
      <c r="T3" s="266"/>
      <c r="U3" s="268"/>
      <c r="V3" s="265" t="s">
        <v>283</v>
      </c>
      <c r="W3" s="266"/>
      <c r="X3" s="266"/>
      <c r="Y3" s="267"/>
    </row>
    <row r="4" spans="1:68" ht="19.5" thickBot="1" x14ac:dyDescent="0.4">
      <c r="A4" s="311"/>
      <c r="B4" s="174" t="s">
        <v>336</v>
      </c>
      <c r="C4" s="175" t="s">
        <v>319</v>
      </c>
      <c r="D4" s="175" t="s">
        <v>331</v>
      </c>
      <c r="E4" s="182" t="s">
        <v>333</v>
      </c>
      <c r="F4" s="174" t="s">
        <v>336</v>
      </c>
      <c r="G4" s="175" t="s">
        <v>319</v>
      </c>
      <c r="H4" s="175" t="s">
        <v>331</v>
      </c>
      <c r="I4" s="177" t="s">
        <v>333</v>
      </c>
      <c r="J4" s="183" t="s">
        <v>336</v>
      </c>
      <c r="K4" s="175" t="s">
        <v>319</v>
      </c>
      <c r="L4" s="175" t="s">
        <v>331</v>
      </c>
      <c r="M4" s="182" t="s">
        <v>333</v>
      </c>
      <c r="N4" s="174" t="s">
        <v>336</v>
      </c>
      <c r="O4" s="175" t="s">
        <v>319</v>
      </c>
      <c r="P4" s="175" t="s">
        <v>331</v>
      </c>
      <c r="Q4" s="177" t="s">
        <v>333</v>
      </c>
      <c r="R4" s="183" t="s">
        <v>336</v>
      </c>
      <c r="S4" s="175" t="s">
        <v>319</v>
      </c>
      <c r="T4" s="175" t="s">
        <v>331</v>
      </c>
      <c r="U4" s="182" t="s">
        <v>333</v>
      </c>
      <c r="V4" s="174" t="s">
        <v>336</v>
      </c>
      <c r="W4" s="175" t="s">
        <v>319</v>
      </c>
      <c r="X4" s="175" t="s">
        <v>331</v>
      </c>
      <c r="Y4" s="177" t="s">
        <v>333</v>
      </c>
    </row>
    <row r="5" spans="1:68" ht="15" x14ac:dyDescent="0.25">
      <c r="A5" s="208">
        <v>21</v>
      </c>
      <c r="B5" s="185">
        <f>A5+16/12</f>
        <v>22.333333333333332</v>
      </c>
      <c r="C5" s="167">
        <v>20</v>
      </c>
      <c r="D5" s="167">
        <v>0.09</v>
      </c>
      <c r="E5" s="168">
        <v>0.09</v>
      </c>
      <c r="F5" s="166">
        <v>12.67</v>
      </c>
      <c r="G5" s="167">
        <v>30</v>
      </c>
      <c r="H5" s="167">
        <v>0.75</v>
      </c>
      <c r="I5" s="169">
        <v>0.75</v>
      </c>
      <c r="J5" s="193">
        <f>A5-0.5+2</f>
        <v>22.5</v>
      </c>
      <c r="K5" s="167">
        <v>50</v>
      </c>
      <c r="L5" s="167">
        <v>1</v>
      </c>
      <c r="M5" s="168">
        <v>1</v>
      </c>
      <c r="N5" s="185">
        <f>A5-0.5+1</f>
        <v>21.5</v>
      </c>
      <c r="O5" s="167">
        <v>40</v>
      </c>
      <c r="P5" s="167">
        <v>4.0449999999999999</v>
      </c>
      <c r="Q5" s="169">
        <v>4.0449999999999999</v>
      </c>
      <c r="R5" s="193">
        <v>9.6667000000000005</v>
      </c>
      <c r="S5" s="167">
        <v>25</v>
      </c>
      <c r="T5" s="167">
        <v>1.778</v>
      </c>
      <c r="U5" s="168">
        <v>0.88900000000000001</v>
      </c>
      <c r="V5" s="185">
        <v>10.333299999999999</v>
      </c>
      <c r="W5" s="167">
        <v>43</v>
      </c>
      <c r="X5" s="167">
        <v>8.67</v>
      </c>
      <c r="Y5" s="169">
        <v>4.68</v>
      </c>
    </row>
    <row r="6" spans="1:68" ht="15" x14ac:dyDescent="0.25">
      <c r="A6" s="208">
        <v>23</v>
      </c>
      <c r="B6" s="188">
        <f t="shared" ref="B6:B10" si="0">A6+16/12</f>
        <v>24.333333333333332</v>
      </c>
      <c r="C6" s="31">
        <v>20</v>
      </c>
      <c r="D6" s="31">
        <v>0.09</v>
      </c>
      <c r="E6" s="140">
        <v>0.09</v>
      </c>
      <c r="F6" s="142">
        <v>12.67</v>
      </c>
      <c r="G6" s="31">
        <v>30</v>
      </c>
      <c r="H6" s="31">
        <v>0.75</v>
      </c>
      <c r="I6" s="143">
        <v>0.75</v>
      </c>
      <c r="J6" s="195"/>
      <c r="K6" s="31"/>
      <c r="L6" s="31"/>
      <c r="M6" s="140"/>
      <c r="N6" s="188"/>
      <c r="O6" s="31"/>
      <c r="P6" s="31"/>
      <c r="Q6" s="143"/>
      <c r="R6" s="195">
        <v>9.6667000000000005</v>
      </c>
      <c r="S6" s="31">
        <v>25</v>
      </c>
      <c r="T6" s="31">
        <v>1.778</v>
      </c>
      <c r="U6" s="140">
        <v>0.88900000000000001</v>
      </c>
      <c r="V6" s="188">
        <v>10.333299999999999</v>
      </c>
      <c r="W6" s="31">
        <v>43</v>
      </c>
      <c r="X6" s="31">
        <v>8.67</v>
      </c>
      <c r="Y6" s="143">
        <v>4.68</v>
      </c>
    </row>
    <row r="7" spans="1:68" ht="15" x14ac:dyDescent="0.25">
      <c r="A7" s="208">
        <v>29</v>
      </c>
      <c r="B7" s="188">
        <f t="shared" si="0"/>
        <v>30.333333333333332</v>
      </c>
      <c r="C7" s="31">
        <v>20</v>
      </c>
      <c r="D7" s="31">
        <v>0.09</v>
      </c>
      <c r="E7" s="140">
        <v>0.09</v>
      </c>
      <c r="F7" s="142">
        <v>12.67</v>
      </c>
      <c r="G7" s="31">
        <v>30</v>
      </c>
      <c r="H7" s="31">
        <v>0.75</v>
      </c>
      <c r="I7" s="143">
        <v>0.75</v>
      </c>
      <c r="J7" s="195">
        <f t="shared" ref="J7:J9" si="1">A7-0.5+2</f>
        <v>30.5</v>
      </c>
      <c r="K7" s="31">
        <v>50</v>
      </c>
      <c r="L7" s="31">
        <v>1</v>
      </c>
      <c r="M7" s="140">
        <v>1</v>
      </c>
      <c r="N7" s="188">
        <f t="shared" ref="N7:N9" si="2">A7-0.5+1</f>
        <v>29.5</v>
      </c>
      <c r="O7" s="31">
        <v>40</v>
      </c>
      <c r="P7" s="31">
        <v>4.0449999999999999</v>
      </c>
      <c r="Q7" s="143">
        <v>4.0449999999999999</v>
      </c>
      <c r="R7" s="195">
        <v>9.6667000000000005</v>
      </c>
      <c r="S7" s="31">
        <v>25</v>
      </c>
      <c r="T7" s="31">
        <v>1.778</v>
      </c>
      <c r="U7" s="140">
        <v>0.88900000000000001</v>
      </c>
      <c r="V7" s="188">
        <v>10.333299999999999</v>
      </c>
      <c r="W7" s="31">
        <v>43</v>
      </c>
      <c r="X7" s="31">
        <v>8.67</v>
      </c>
      <c r="Y7" s="143">
        <v>4.68</v>
      </c>
    </row>
    <row r="8" spans="1:68" ht="15" x14ac:dyDescent="0.25">
      <c r="A8" s="208">
        <v>30</v>
      </c>
      <c r="B8" s="188">
        <f t="shared" si="0"/>
        <v>31.333333333333332</v>
      </c>
      <c r="C8" s="31">
        <v>20</v>
      </c>
      <c r="D8" s="31">
        <v>0.09</v>
      </c>
      <c r="E8" s="140">
        <v>0.09</v>
      </c>
      <c r="F8" s="142">
        <v>12.67</v>
      </c>
      <c r="G8" s="31">
        <v>30</v>
      </c>
      <c r="H8" s="31">
        <v>0.75</v>
      </c>
      <c r="I8" s="143">
        <v>0.75</v>
      </c>
      <c r="J8" s="195">
        <f t="shared" si="1"/>
        <v>31.5</v>
      </c>
      <c r="K8" s="31">
        <v>50</v>
      </c>
      <c r="L8" s="31">
        <v>1</v>
      </c>
      <c r="M8" s="140">
        <v>1</v>
      </c>
      <c r="N8" s="188">
        <f t="shared" si="2"/>
        <v>30.5</v>
      </c>
      <c r="O8" s="31">
        <v>40</v>
      </c>
      <c r="P8" s="31">
        <v>4.0449999999999999</v>
      </c>
      <c r="Q8" s="143">
        <v>4.0449999999999999</v>
      </c>
      <c r="R8" s="195">
        <v>9.6667000000000005</v>
      </c>
      <c r="S8" s="31">
        <v>25</v>
      </c>
      <c r="T8" s="31">
        <v>1.778</v>
      </c>
      <c r="U8" s="140">
        <v>0.88900000000000001</v>
      </c>
      <c r="V8" s="188">
        <v>10.333299999999999</v>
      </c>
      <c r="W8" s="31">
        <v>43</v>
      </c>
      <c r="X8" s="31">
        <v>8.67</v>
      </c>
      <c r="Y8" s="143">
        <v>4.68</v>
      </c>
    </row>
    <row r="9" spans="1:68" ht="15" x14ac:dyDescent="0.25">
      <c r="A9" s="208">
        <v>36</v>
      </c>
      <c r="B9" s="188">
        <f t="shared" si="0"/>
        <v>37.333333333333336</v>
      </c>
      <c r="C9" s="31">
        <v>20</v>
      </c>
      <c r="D9" s="31">
        <v>0.09</v>
      </c>
      <c r="E9" s="140">
        <v>0.09</v>
      </c>
      <c r="F9" s="142">
        <v>12.67</v>
      </c>
      <c r="G9" s="31">
        <v>30</v>
      </c>
      <c r="H9" s="31">
        <v>0.75</v>
      </c>
      <c r="I9" s="143">
        <v>0.75</v>
      </c>
      <c r="J9" s="195">
        <f t="shared" si="1"/>
        <v>37.5</v>
      </c>
      <c r="K9" s="31">
        <v>50</v>
      </c>
      <c r="L9" s="31">
        <v>1</v>
      </c>
      <c r="M9" s="140">
        <v>1</v>
      </c>
      <c r="N9" s="188">
        <f t="shared" si="2"/>
        <v>36.5</v>
      </c>
      <c r="O9" s="31">
        <v>40</v>
      </c>
      <c r="P9" s="31">
        <v>4.0449999999999999</v>
      </c>
      <c r="Q9" s="143">
        <v>4.0449999999999999</v>
      </c>
      <c r="R9" s="195">
        <v>9.6667000000000005</v>
      </c>
      <c r="S9" s="31">
        <v>25</v>
      </c>
      <c r="T9" s="31">
        <v>1.778</v>
      </c>
      <c r="U9" s="140">
        <v>0.88900000000000001</v>
      </c>
      <c r="V9" s="188">
        <v>10.333299999999999</v>
      </c>
      <c r="W9" s="31">
        <v>43</v>
      </c>
      <c r="X9" s="31">
        <v>8.67</v>
      </c>
      <c r="Y9" s="143">
        <v>4.68</v>
      </c>
    </row>
    <row r="10" spans="1:68" ht="15.75" thickBot="1" x14ac:dyDescent="0.3">
      <c r="A10" s="209">
        <v>40</v>
      </c>
      <c r="B10" s="190">
        <f t="shared" si="0"/>
        <v>41.333333333333336</v>
      </c>
      <c r="C10" s="145">
        <v>20</v>
      </c>
      <c r="D10" s="145">
        <v>0.09</v>
      </c>
      <c r="E10" s="164">
        <v>0.09</v>
      </c>
      <c r="F10" s="144">
        <v>12.67</v>
      </c>
      <c r="G10" s="145">
        <v>30</v>
      </c>
      <c r="H10" s="145">
        <v>0.75</v>
      </c>
      <c r="I10" s="146">
        <v>0.75</v>
      </c>
      <c r="J10" s="197">
        <f>A10-0.5+5</f>
        <v>44.5</v>
      </c>
      <c r="K10" s="145">
        <v>50</v>
      </c>
      <c r="L10" s="145">
        <v>1</v>
      </c>
      <c r="M10" s="164">
        <v>1</v>
      </c>
      <c r="N10" s="190">
        <f>A10-0.5+5/2</f>
        <v>42</v>
      </c>
      <c r="O10" s="145">
        <v>126</v>
      </c>
      <c r="P10" s="145">
        <v>16.087</v>
      </c>
      <c r="Q10" s="146">
        <v>16.087</v>
      </c>
      <c r="R10" s="197">
        <v>9.6667000000000005</v>
      </c>
      <c r="S10" s="145">
        <v>25</v>
      </c>
      <c r="T10" s="145">
        <v>1.778</v>
      </c>
      <c r="U10" s="164">
        <v>0.88900000000000001</v>
      </c>
      <c r="V10" s="190">
        <v>10.333299999999999</v>
      </c>
      <c r="W10" s="145">
        <v>43</v>
      </c>
      <c r="X10" s="145">
        <v>8.67</v>
      </c>
      <c r="Y10" s="146">
        <v>4.68</v>
      </c>
    </row>
    <row r="12" spans="1:68" ht="13.5" thickBot="1" x14ac:dyDescent="0.25">
      <c r="A12" t="s">
        <v>337</v>
      </c>
    </row>
    <row r="13" spans="1:68" ht="18.75" x14ac:dyDescent="0.35">
      <c r="A13" s="308" t="s">
        <v>23</v>
      </c>
      <c r="B13" s="312" t="s">
        <v>101</v>
      </c>
      <c r="C13" s="271" t="s">
        <v>319</v>
      </c>
      <c r="D13" s="266"/>
      <c r="E13" s="266"/>
      <c r="F13" s="266"/>
      <c r="G13" s="266"/>
      <c r="H13" s="266"/>
      <c r="I13" s="266"/>
      <c r="J13" s="266"/>
      <c r="K13" s="266"/>
      <c r="L13" s="266"/>
      <c r="M13" s="268"/>
      <c r="N13" s="265" t="s">
        <v>272</v>
      </c>
      <c r="O13" s="266"/>
      <c r="P13" s="266"/>
      <c r="Q13" s="266"/>
      <c r="R13" s="266"/>
      <c r="S13" s="266"/>
      <c r="T13" s="266"/>
      <c r="U13" s="266"/>
      <c r="V13" s="266"/>
      <c r="W13" s="266"/>
      <c r="X13" s="267"/>
      <c r="Y13" s="271" t="s">
        <v>331</v>
      </c>
      <c r="Z13" s="266"/>
      <c r="AA13" s="266"/>
      <c r="AB13" s="266"/>
      <c r="AC13" s="266"/>
      <c r="AD13" s="266"/>
      <c r="AE13" s="266"/>
      <c r="AF13" s="266"/>
      <c r="AG13" s="266"/>
      <c r="AH13" s="266"/>
      <c r="AI13" s="268"/>
      <c r="AJ13" s="265" t="s">
        <v>332</v>
      </c>
      <c r="AK13" s="266"/>
      <c r="AL13" s="266"/>
      <c r="AM13" s="266"/>
      <c r="AN13" s="266"/>
      <c r="AO13" s="266"/>
      <c r="AP13" s="266"/>
      <c r="AQ13" s="266"/>
      <c r="AR13" s="266"/>
      <c r="AS13" s="266"/>
      <c r="AT13" s="267"/>
      <c r="AU13" s="271" t="s">
        <v>333</v>
      </c>
      <c r="AV13" s="266"/>
      <c r="AW13" s="266"/>
      <c r="AX13" s="266"/>
      <c r="AY13" s="266"/>
      <c r="AZ13" s="266"/>
      <c r="BA13" s="266"/>
      <c r="BB13" s="266"/>
      <c r="BC13" s="266"/>
      <c r="BD13" s="266"/>
      <c r="BE13" s="268"/>
      <c r="BF13" s="265" t="s">
        <v>334</v>
      </c>
      <c r="BG13" s="266"/>
      <c r="BH13" s="266"/>
      <c r="BI13" s="266"/>
      <c r="BJ13" s="266"/>
      <c r="BK13" s="266"/>
      <c r="BL13" s="266"/>
      <c r="BM13" s="266"/>
      <c r="BN13" s="266"/>
      <c r="BO13" s="266"/>
      <c r="BP13" s="267"/>
    </row>
    <row r="14" spans="1:68" ht="13.5" thickBot="1" x14ac:dyDescent="0.25">
      <c r="A14" s="309"/>
      <c r="B14" s="313"/>
      <c r="C14" s="183">
        <v>0</v>
      </c>
      <c r="D14" s="175">
        <v>5</v>
      </c>
      <c r="E14" s="175">
        <v>10</v>
      </c>
      <c r="F14" s="175">
        <v>15</v>
      </c>
      <c r="G14" s="175">
        <v>21</v>
      </c>
      <c r="H14" s="175">
        <v>23</v>
      </c>
      <c r="I14" s="175">
        <v>25</v>
      </c>
      <c r="J14" s="175">
        <v>29</v>
      </c>
      <c r="K14" s="175">
        <v>30</v>
      </c>
      <c r="L14" s="175">
        <v>36</v>
      </c>
      <c r="M14" s="165">
        <v>40</v>
      </c>
      <c r="N14" s="174">
        <v>0</v>
      </c>
      <c r="O14" s="175">
        <v>5</v>
      </c>
      <c r="P14" s="175">
        <v>10</v>
      </c>
      <c r="Q14" s="175">
        <v>15</v>
      </c>
      <c r="R14" s="175">
        <v>21</v>
      </c>
      <c r="S14" s="175">
        <v>23</v>
      </c>
      <c r="T14" s="175">
        <v>25</v>
      </c>
      <c r="U14" s="175">
        <v>29</v>
      </c>
      <c r="V14" s="175">
        <v>30</v>
      </c>
      <c r="W14" s="175">
        <v>36</v>
      </c>
      <c r="X14" s="177">
        <v>40</v>
      </c>
      <c r="Y14" s="183">
        <v>0</v>
      </c>
      <c r="Z14" s="175">
        <v>5</v>
      </c>
      <c r="AA14" s="175">
        <v>10</v>
      </c>
      <c r="AB14" s="175">
        <v>15</v>
      </c>
      <c r="AC14" s="175">
        <v>21</v>
      </c>
      <c r="AD14" s="175">
        <v>23</v>
      </c>
      <c r="AE14" s="175">
        <v>25</v>
      </c>
      <c r="AF14" s="175">
        <v>29</v>
      </c>
      <c r="AG14" s="175">
        <v>30</v>
      </c>
      <c r="AH14" s="175">
        <v>36</v>
      </c>
      <c r="AI14" s="165">
        <v>40</v>
      </c>
      <c r="AJ14" s="174">
        <v>0</v>
      </c>
      <c r="AK14" s="175">
        <v>5</v>
      </c>
      <c r="AL14" s="175">
        <v>10</v>
      </c>
      <c r="AM14" s="175">
        <v>15</v>
      </c>
      <c r="AN14" s="175">
        <v>21</v>
      </c>
      <c r="AO14" s="175">
        <v>23</v>
      </c>
      <c r="AP14" s="175">
        <v>25</v>
      </c>
      <c r="AQ14" s="175">
        <v>29</v>
      </c>
      <c r="AR14" s="175">
        <v>30</v>
      </c>
      <c r="AS14" s="175">
        <v>36</v>
      </c>
      <c r="AT14" s="147">
        <v>40</v>
      </c>
      <c r="AU14" s="183">
        <v>0</v>
      </c>
      <c r="AV14" s="175">
        <v>5</v>
      </c>
      <c r="AW14" s="175">
        <v>10</v>
      </c>
      <c r="AX14" s="175">
        <v>15</v>
      </c>
      <c r="AY14" s="175">
        <v>21</v>
      </c>
      <c r="AZ14" s="175">
        <v>23</v>
      </c>
      <c r="BA14" s="175">
        <v>25</v>
      </c>
      <c r="BB14" s="175">
        <v>29</v>
      </c>
      <c r="BC14" s="175">
        <v>30</v>
      </c>
      <c r="BD14" s="175">
        <v>36</v>
      </c>
      <c r="BE14" s="165">
        <v>40</v>
      </c>
      <c r="BF14" s="174">
        <v>0</v>
      </c>
      <c r="BG14" s="175">
        <v>5</v>
      </c>
      <c r="BH14" s="175">
        <v>10</v>
      </c>
      <c r="BI14" s="175">
        <v>15</v>
      </c>
      <c r="BJ14" s="175">
        <v>21</v>
      </c>
      <c r="BK14" s="175">
        <v>23</v>
      </c>
      <c r="BL14" s="175">
        <v>25</v>
      </c>
      <c r="BM14" s="175">
        <v>29</v>
      </c>
      <c r="BN14" s="175">
        <v>30</v>
      </c>
      <c r="BO14" s="175">
        <v>36</v>
      </c>
      <c r="BP14" s="147">
        <v>40</v>
      </c>
    </row>
    <row r="15" spans="1:68" ht="15" x14ac:dyDescent="0.25">
      <c r="A15" s="210">
        <v>21</v>
      </c>
      <c r="B15" s="143" t="s">
        <v>338</v>
      </c>
      <c r="C15" s="170">
        <f>IF($B5&gt;=C$14,$C5,0)+IF($F5&gt;=C$14,$G5,0)+IF($B15="Yes",IF($J5&gt;=C$14,$K5,0)+IF($N5&gt;=C$14,$O5,0),0)+IF($R5&gt;=C$14,2*$S5,0)+IF($V5&gt;=C$14,$W5,0)</f>
        <v>233</v>
      </c>
      <c r="D15" s="167">
        <f t="shared" ref="D15:M20" si="3">IF($B5&gt;=D$14,$C5,0)+IF($F5&gt;=D$14,$G5,0)+IF($B15="Yes",IF($J5&gt;=D$14,$K5,0)+IF($N5&gt;=D$14,$O5,0),0)+IF($R5&gt;=D$14,2*$S5,0)+IF($V5&gt;=D$14,$W5,0)</f>
        <v>233</v>
      </c>
      <c r="E15" s="167">
        <f t="shared" si="3"/>
        <v>183</v>
      </c>
      <c r="F15" s="167">
        <f t="shared" si="3"/>
        <v>110</v>
      </c>
      <c r="G15" s="167">
        <f t="shared" si="3"/>
        <v>110</v>
      </c>
      <c r="H15" s="167">
        <f t="shared" si="3"/>
        <v>0</v>
      </c>
      <c r="I15" s="167">
        <f t="shared" si="3"/>
        <v>0</v>
      </c>
      <c r="J15" s="167">
        <f t="shared" si="3"/>
        <v>0</v>
      </c>
      <c r="K15" s="167">
        <f t="shared" si="3"/>
        <v>0</v>
      </c>
      <c r="L15" s="167">
        <f t="shared" si="3"/>
        <v>0</v>
      </c>
      <c r="M15" s="168">
        <f t="shared" si="3"/>
        <v>0</v>
      </c>
      <c r="N15" s="179">
        <f>IF($B5&gt;=N$14,$C5*($B5-N$14),0)+IF($F5&gt;=N$14,$G5*($F5-N$14),0)+IF($B15="Yes",IF($J5&gt;=N$14,$K5*($J5-N$14),0)+IF($N5&gt;=N$14,$O5*($N5-N$14),0))+IF($R5&gt;=N$14,2*$S5*($R5-N$14),0)+IF($V5&gt;=N$14,$W5*($V5-N$14),0)</f>
        <v>3739.4335666666666</v>
      </c>
      <c r="O15" s="151">
        <f t="shared" ref="O15:X20" si="4">IF($B5&gt;=O$14,$C5*($B5-O$14),0)+IF($F5&gt;=O$14,$G5*($F5-O$14),0)+IF($B15="Yes",IF($J5&gt;=O$14,$K5*($J5-O$14),0)+IF($N5&gt;=O$14,$O5*($N5-O$14),0))+IF($R5&gt;=O$14,2*$S5*($R5-O$14),0)+IF($V5&gt;=O$14,$W5*($V5-O$14),0)</f>
        <v>2574.4335666666666</v>
      </c>
      <c r="P15" s="151">
        <f t="shared" si="4"/>
        <v>1426.0985666666666</v>
      </c>
      <c r="Q15" s="151">
        <f t="shared" si="4"/>
        <v>781.66666666666663</v>
      </c>
      <c r="R15" s="151">
        <f t="shared" si="4"/>
        <v>121.66666666666664</v>
      </c>
      <c r="S15" s="151">
        <f t="shared" si="4"/>
        <v>0</v>
      </c>
      <c r="T15" s="151">
        <f t="shared" si="4"/>
        <v>0</v>
      </c>
      <c r="U15" s="151">
        <f t="shared" si="4"/>
        <v>0</v>
      </c>
      <c r="V15" s="151">
        <f t="shared" si="4"/>
        <v>0</v>
      </c>
      <c r="W15" s="151">
        <f t="shared" si="4"/>
        <v>0</v>
      </c>
      <c r="X15" s="152">
        <f t="shared" si="4"/>
        <v>0</v>
      </c>
      <c r="Y15" s="193">
        <f>IF($B5&gt;=Y$14,$D5,0)+IF($F5&gt;=Y$14,$H5,0)+IF($B15="Yes",IF($J5&gt;=Y$14,$L5,0)+IF($N5&gt;=Y$14,$P5,0),0)+IF($R5&gt;=Y$14,2*$T5,0)+IF($V5&gt;=Y$14,$X5,0)</f>
        <v>18.110999999999997</v>
      </c>
      <c r="Z15" s="186">
        <f t="shared" ref="Z15:AI20" si="5">IF($B5&gt;=Z$14,$D5,0)+IF($F5&gt;=Z$14,$H5,0)+IF($B15="Yes",IF($J5&gt;=Z$14,$L5,0)+IF($N5&gt;=Z$14,$P5,0),0)+IF($R5&gt;=Z$14,2*$T5,0)+IF($V5&gt;=Z$14,$X5,0)</f>
        <v>18.110999999999997</v>
      </c>
      <c r="AA15" s="186">
        <f t="shared" si="5"/>
        <v>14.555</v>
      </c>
      <c r="AB15" s="186">
        <f t="shared" si="5"/>
        <v>5.1349999999999998</v>
      </c>
      <c r="AC15" s="186">
        <f t="shared" si="5"/>
        <v>5.1349999999999998</v>
      </c>
      <c r="AD15" s="186">
        <f t="shared" si="5"/>
        <v>0</v>
      </c>
      <c r="AE15" s="186">
        <f t="shared" si="5"/>
        <v>0</v>
      </c>
      <c r="AF15" s="186">
        <f t="shared" si="5"/>
        <v>0</v>
      </c>
      <c r="AG15" s="186">
        <f t="shared" si="5"/>
        <v>0</v>
      </c>
      <c r="AH15" s="186">
        <f t="shared" si="5"/>
        <v>0</v>
      </c>
      <c r="AI15" s="194">
        <f t="shared" si="5"/>
        <v>0</v>
      </c>
      <c r="AJ15" s="179">
        <f>IF($B5&gt;=AJ$14,$D5*($B5-AJ$14),0)+IF($F5&gt;=AJ$14,$H5*($F5-AJ$14),0)+IF($B15="Yes",IF($J5&gt;=AJ$14,$L5*($J5-AJ$14),0)+IF($N5&gt;=AJ$14,$P5*($N5-AJ$14),0),0)+IF($R5&gt;=AJ$14,2*$T5*($R5-AJ$14),0)+IF($V5&gt;=AJ$14,$X5*($V5-AJ$14),0)</f>
        <v>244.9444962</v>
      </c>
      <c r="AK15" s="151">
        <f t="shared" ref="AK15:AT20" si="6">IF($B5&gt;=AK$14,$D5*($B5-AK$14),0)+IF($F5&gt;=AK$14,$H5*($F5-AK$14),0)+IF($B15="Yes",IF($J5&gt;=AK$14,$L5*($J5-AK$14),0)+IF($N5&gt;=AK$14,$P5*($N5-AK$14),0),0)+IF($R5&gt;=AK$14,2*$T5*($R5-AK$14),0)+IF($V5&gt;=AK$14,$X5*($V5-AK$14),0)</f>
        <v>154.3894962</v>
      </c>
      <c r="AL15" s="151">
        <f t="shared" si="6"/>
        <v>65.019710999999987</v>
      </c>
      <c r="AM15" s="151">
        <f t="shared" si="6"/>
        <v>34.452500000000001</v>
      </c>
      <c r="AN15" s="151">
        <f t="shared" si="6"/>
        <v>3.6425000000000001</v>
      </c>
      <c r="AO15" s="151">
        <f t="shared" si="6"/>
        <v>0</v>
      </c>
      <c r="AP15" s="151">
        <f t="shared" si="6"/>
        <v>0</v>
      </c>
      <c r="AQ15" s="151">
        <f t="shared" si="6"/>
        <v>0</v>
      </c>
      <c r="AR15" s="151">
        <f t="shared" si="6"/>
        <v>0</v>
      </c>
      <c r="AS15" s="151">
        <f t="shared" si="6"/>
        <v>0</v>
      </c>
      <c r="AT15" s="152">
        <f t="shared" si="6"/>
        <v>0</v>
      </c>
      <c r="AU15" s="193">
        <f>IF($B5&gt;=AU$14,$E5,0)+IF($F5&gt;=AU$14,$I5,0)+IF($B15="Yes",IF($J5&gt;=AU$14,$M5,0)+IF($N5&gt;=AU$14,$Q5,0),0)+IF($R5&gt;=AU$14,2*$U5,0)+IF($V5&gt;=AU$14,$Y5,0)</f>
        <v>12.343</v>
      </c>
      <c r="AV15" s="186">
        <f t="shared" ref="AV15:BE20" si="7">IF($B5&gt;=AV$14,$E5,0)+IF($F5&gt;=AV$14,$I5,0)+IF($B15="Yes",IF($J5&gt;=AV$14,$M5,0)+IF($N5&gt;=AV$14,$Q5,0),0)+IF($R5&gt;=AV$14,2*$U5,0)+IF($V5&gt;=AV$14,$Y5,0)</f>
        <v>12.343</v>
      </c>
      <c r="AW15" s="186">
        <f t="shared" si="7"/>
        <v>10.565</v>
      </c>
      <c r="AX15" s="186">
        <f t="shared" si="7"/>
        <v>5.1349999999999998</v>
      </c>
      <c r="AY15" s="186">
        <f t="shared" si="7"/>
        <v>5.1349999999999998</v>
      </c>
      <c r="AZ15" s="186">
        <f t="shared" si="7"/>
        <v>0</v>
      </c>
      <c r="BA15" s="186">
        <f t="shared" si="7"/>
        <v>0</v>
      </c>
      <c r="BB15" s="186">
        <f t="shared" si="7"/>
        <v>0</v>
      </c>
      <c r="BC15" s="186">
        <f t="shared" si="7"/>
        <v>0</v>
      </c>
      <c r="BD15" s="186">
        <f t="shared" si="7"/>
        <v>0</v>
      </c>
      <c r="BE15" s="194">
        <f t="shared" si="7"/>
        <v>0</v>
      </c>
      <c r="BF15" s="179">
        <f>IF($B5&gt;=BF$14,$E5*($B5-BF$14),0)+IF($F5&gt;=BF$14,$I5*($F5-BF$14),0)+IF($B15="Yes",IF($J5&gt;=BF$14,$M5*($J5-BF$14),0)+IF($N5&gt;=BF$14,$Q5*($N5-BF$14),0),0)+IF($R5&gt;=BF$14,2*$U5*($R5-BF$14),0)+IF($V5&gt;=BF$14,$Y5*($V5-BF$14),0)</f>
        <v>186.52723659999998</v>
      </c>
      <c r="BG15" s="151">
        <f t="shared" ref="BG15:BP20" si="8">IF($B5&gt;=BG$14,$E5*($B5-BG$14),0)+IF($F5&gt;=BG$14,$I5*($F5-BG$14),0)+IF($B15="Yes",IF($J5&gt;=BG$14,$M5*($J5-BG$14),0)+IF($N5&gt;=BG$14,$Q5*($N5-BG$14),0),0)+IF($R5&gt;=BG$14,2*$U5*($R5-BG$14),0)+IF($V5&gt;=BG$14,$Y5*($V5-BG$14),0)</f>
        <v>124.81223659999998</v>
      </c>
      <c r="BH15" s="151">
        <f t="shared" si="8"/>
        <v>63.689843999999994</v>
      </c>
      <c r="BI15" s="151">
        <f t="shared" si="8"/>
        <v>34.452500000000001</v>
      </c>
      <c r="BJ15" s="151">
        <f t="shared" si="8"/>
        <v>3.6425000000000001</v>
      </c>
      <c r="BK15" s="151">
        <f t="shared" si="8"/>
        <v>0</v>
      </c>
      <c r="BL15" s="151">
        <f t="shared" si="8"/>
        <v>0</v>
      </c>
      <c r="BM15" s="151">
        <f t="shared" si="8"/>
        <v>0</v>
      </c>
      <c r="BN15" s="151">
        <f t="shared" si="8"/>
        <v>0</v>
      </c>
      <c r="BO15" s="151">
        <f t="shared" si="8"/>
        <v>0</v>
      </c>
      <c r="BP15" s="152">
        <f t="shared" si="8"/>
        <v>0</v>
      </c>
    </row>
    <row r="16" spans="1:68" ht="15" x14ac:dyDescent="0.25">
      <c r="A16" s="210">
        <v>23</v>
      </c>
      <c r="B16" s="143" t="s">
        <v>339</v>
      </c>
      <c r="C16" s="141">
        <f>IF($B6&gt;=C$14,$C6,0)+IF($F6&gt;=C$14,$G6,0)+IF($B16="Yes",IF($J6&gt;=C$14,$K6,0)+IF($N6&gt;=C$14,$O6,0),0)+IF($R6&gt;=C$14,2*$S6,0)+IF($V6&gt;=C$14,$W6,0)</f>
        <v>143</v>
      </c>
      <c r="D16" s="31">
        <f t="shared" si="3"/>
        <v>143</v>
      </c>
      <c r="E16" s="31">
        <f t="shared" si="3"/>
        <v>93</v>
      </c>
      <c r="F16" s="31">
        <f t="shared" si="3"/>
        <v>20</v>
      </c>
      <c r="G16" s="31">
        <f t="shared" si="3"/>
        <v>20</v>
      </c>
      <c r="H16" s="31">
        <f t="shared" si="3"/>
        <v>20</v>
      </c>
      <c r="I16" s="31">
        <f t="shared" si="3"/>
        <v>0</v>
      </c>
      <c r="J16" s="31">
        <f t="shared" si="3"/>
        <v>0</v>
      </c>
      <c r="K16" s="31">
        <f t="shared" si="3"/>
        <v>0</v>
      </c>
      <c r="L16" s="31">
        <f t="shared" si="3"/>
        <v>0</v>
      </c>
      <c r="M16" s="140">
        <f t="shared" si="3"/>
        <v>0</v>
      </c>
      <c r="N16" s="180">
        <f t="shared" ref="N16:N20" si="9">IF($B6&gt;=N$14,$C6*($B6-N$14),0)+IF($F6&gt;=N$14,$G6*($F6-N$14),0)+IF($B16="Yes",IF($J6&gt;=N$14,$K6*($J6-N$14),0)+IF($N6&gt;=N$14,$O6*($N6-N$14),0))+IF($R6&gt;=N$14,2*$S6*($R6-N$14),0)+IF($V6&gt;=N$14,$W6*($V6-N$14),0)</f>
        <v>1794.4335666666666</v>
      </c>
      <c r="O16" s="98">
        <f t="shared" si="4"/>
        <v>1079.4335666666666</v>
      </c>
      <c r="P16" s="98">
        <f t="shared" si="4"/>
        <v>381.09856666666661</v>
      </c>
      <c r="Q16" s="98">
        <f t="shared" si="4"/>
        <v>186.66666666666663</v>
      </c>
      <c r="R16" s="98">
        <f t="shared" si="4"/>
        <v>66.666666666666643</v>
      </c>
      <c r="S16" s="98">
        <f t="shared" si="4"/>
        <v>26.666666666666643</v>
      </c>
      <c r="T16" s="98">
        <f t="shared" si="4"/>
        <v>0</v>
      </c>
      <c r="U16" s="98">
        <f t="shared" si="4"/>
        <v>0</v>
      </c>
      <c r="V16" s="98">
        <f t="shared" si="4"/>
        <v>0</v>
      </c>
      <c r="W16" s="98">
        <f t="shared" si="4"/>
        <v>0</v>
      </c>
      <c r="X16" s="154">
        <f t="shared" si="4"/>
        <v>0</v>
      </c>
      <c r="Y16" s="195">
        <f t="shared" ref="Y16:Y20" si="10">IF($B6&gt;=Y$14,$D6,0)+IF($F6&gt;=Y$14,$H6,0)+IF($B16="Yes",IF($J6&gt;=Y$14,$L6,0)+IF($N6&gt;=Y$14,$P6,0),0)+IF($R6&gt;=Y$14,2*$T6,0)+IF($V6&gt;=Y$14,$X6,0)</f>
        <v>13.065999999999999</v>
      </c>
      <c r="Z16" s="97">
        <f t="shared" si="5"/>
        <v>13.065999999999999</v>
      </c>
      <c r="AA16" s="97">
        <f t="shared" si="5"/>
        <v>9.51</v>
      </c>
      <c r="AB16" s="97">
        <f t="shared" si="5"/>
        <v>0.09</v>
      </c>
      <c r="AC16" s="97">
        <f t="shared" si="5"/>
        <v>0.09</v>
      </c>
      <c r="AD16" s="97">
        <f t="shared" si="5"/>
        <v>0.09</v>
      </c>
      <c r="AE16" s="97">
        <f t="shared" si="5"/>
        <v>0</v>
      </c>
      <c r="AF16" s="97">
        <f t="shared" si="5"/>
        <v>0</v>
      </c>
      <c r="AG16" s="97">
        <f t="shared" si="5"/>
        <v>0</v>
      </c>
      <c r="AH16" s="97">
        <f t="shared" si="5"/>
        <v>0</v>
      </c>
      <c r="AI16" s="196">
        <f t="shared" si="5"/>
        <v>0</v>
      </c>
      <c r="AJ16" s="180">
        <f t="shared" ref="AJ16:AJ20" si="11">IF($B6&gt;=AJ$14,$D6*($B6-AJ$14),0)+IF($F6&gt;=AJ$14,$H6*($F6-AJ$14),0)+IF($B16="Yes",IF($J6&gt;=AJ$14,$L6*($J6-AJ$14),0)+IF($N6&gt;=AJ$14,$P6*($N6-AJ$14),0),0)+IF($R6&gt;=AJ$14,2*$T6*($R6-AJ$14),0)+IF($V6&gt;=AJ$14,$X6*($V6-AJ$14),0)</f>
        <v>135.65699619999998</v>
      </c>
      <c r="AK16" s="98">
        <f t="shared" si="6"/>
        <v>70.326996199999996</v>
      </c>
      <c r="AL16" s="98">
        <f t="shared" si="6"/>
        <v>6.1822109999999952</v>
      </c>
      <c r="AM16" s="98">
        <f t="shared" si="6"/>
        <v>0.83999999999999986</v>
      </c>
      <c r="AN16" s="98">
        <f t="shared" si="6"/>
        <v>0.29999999999999988</v>
      </c>
      <c r="AO16" s="98">
        <f t="shared" si="6"/>
        <v>0.11999999999999988</v>
      </c>
      <c r="AP16" s="98">
        <f t="shared" si="6"/>
        <v>0</v>
      </c>
      <c r="AQ16" s="98">
        <f t="shared" si="6"/>
        <v>0</v>
      </c>
      <c r="AR16" s="98">
        <f t="shared" si="6"/>
        <v>0</v>
      </c>
      <c r="AS16" s="98">
        <f t="shared" si="6"/>
        <v>0</v>
      </c>
      <c r="AT16" s="154">
        <f t="shared" si="6"/>
        <v>0</v>
      </c>
      <c r="AU16" s="195">
        <f t="shared" ref="AU16:AU20" si="12">IF($B6&gt;=AU$14,$E6,0)+IF($F6&gt;=AU$14,$I6,0)+IF($B16="Yes",IF($J6&gt;=AU$14,$M6,0)+IF($N6&gt;=AU$14,$Q6,0),0)+IF($R6&gt;=AU$14,2*$U6,0)+IF($V6&gt;=AU$14,$Y6,0)</f>
        <v>7.298</v>
      </c>
      <c r="AV16" s="97">
        <f t="shared" si="7"/>
        <v>7.298</v>
      </c>
      <c r="AW16" s="97">
        <f t="shared" si="7"/>
        <v>5.52</v>
      </c>
      <c r="AX16" s="97">
        <f t="shared" si="7"/>
        <v>0.09</v>
      </c>
      <c r="AY16" s="97">
        <f t="shared" si="7"/>
        <v>0.09</v>
      </c>
      <c r="AZ16" s="97">
        <f t="shared" si="7"/>
        <v>0.09</v>
      </c>
      <c r="BA16" s="97">
        <f t="shared" si="7"/>
        <v>0</v>
      </c>
      <c r="BB16" s="97">
        <f t="shared" si="7"/>
        <v>0</v>
      </c>
      <c r="BC16" s="97">
        <f t="shared" si="7"/>
        <v>0</v>
      </c>
      <c r="BD16" s="97">
        <f t="shared" si="7"/>
        <v>0</v>
      </c>
      <c r="BE16" s="196">
        <f t="shared" si="7"/>
        <v>0</v>
      </c>
      <c r="BF16" s="180">
        <f t="shared" ref="BF16:BF20" si="13">IF($B6&gt;=BF$14,$E6*($B6-BF$14),0)+IF($F6&gt;=BF$14,$I6*($F6-BF$14),0)+IF($B16="Yes",IF($J6&gt;=BF$14,$M6*($J6-BF$14),0)+IF($N6&gt;=BF$14,$Q6*($N6-BF$14),0),0)+IF($R6&gt;=BF$14,2*$U6*($R6-BF$14),0)+IF($V6&gt;=BF$14,$Y6*($V6-BF$14),0)</f>
        <v>77.239736600000001</v>
      </c>
      <c r="BG16" s="98">
        <f t="shared" si="8"/>
        <v>40.749736599999999</v>
      </c>
      <c r="BH16" s="98">
        <f t="shared" si="8"/>
        <v>4.8523439999999969</v>
      </c>
      <c r="BI16" s="98">
        <f t="shared" si="8"/>
        <v>0.83999999999999986</v>
      </c>
      <c r="BJ16" s="98">
        <f t="shared" si="8"/>
        <v>0.29999999999999988</v>
      </c>
      <c r="BK16" s="98">
        <f t="shared" si="8"/>
        <v>0.11999999999999988</v>
      </c>
      <c r="BL16" s="98">
        <f t="shared" si="8"/>
        <v>0</v>
      </c>
      <c r="BM16" s="98">
        <f t="shared" si="8"/>
        <v>0</v>
      </c>
      <c r="BN16" s="98">
        <f t="shared" si="8"/>
        <v>0</v>
      </c>
      <c r="BO16" s="98">
        <f t="shared" si="8"/>
        <v>0</v>
      </c>
      <c r="BP16" s="154">
        <f t="shared" si="8"/>
        <v>0</v>
      </c>
    </row>
    <row r="17" spans="1:68" ht="15" x14ac:dyDescent="0.25">
      <c r="A17" s="210">
        <v>29</v>
      </c>
      <c r="B17" s="143" t="s">
        <v>338</v>
      </c>
      <c r="C17" s="141">
        <f t="shared" ref="C17:C20" si="14">IF($B7&gt;=C$14,$C7,0)+IF($F7&gt;=C$14,$G7,0)+IF($B17="Yes",IF($J7&gt;=C$14,$K7,0)+IF($N7&gt;=C$14,$O7,0),0)+IF($R7&gt;=C$14,2*$S7,0)+IF($V7&gt;=C$14,$W7,0)</f>
        <v>233</v>
      </c>
      <c r="D17" s="31">
        <f t="shared" si="3"/>
        <v>233</v>
      </c>
      <c r="E17" s="31">
        <f t="shared" si="3"/>
        <v>183</v>
      </c>
      <c r="F17" s="31">
        <f t="shared" si="3"/>
        <v>110</v>
      </c>
      <c r="G17" s="31">
        <f t="shared" si="3"/>
        <v>110</v>
      </c>
      <c r="H17" s="31">
        <f t="shared" si="3"/>
        <v>110</v>
      </c>
      <c r="I17" s="31">
        <f t="shared" si="3"/>
        <v>110</v>
      </c>
      <c r="J17" s="31">
        <f t="shared" si="3"/>
        <v>110</v>
      </c>
      <c r="K17" s="31">
        <f t="shared" si="3"/>
        <v>70</v>
      </c>
      <c r="L17" s="31">
        <f t="shared" si="3"/>
        <v>0</v>
      </c>
      <c r="M17" s="140">
        <f t="shared" si="3"/>
        <v>0</v>
      </c>
      <c r="N17" s="180">
        <f t="shared" si="9"/>
        <v>4619.4335666666666</v>
      </c>
      <c r="O17" s="98">
        <f t="shared" si="4"/>
        <v>3454.4335666666666</v>
      </c>
      <c r="P17" s="98">
        <f t="shared" si="4"/>
        <v>2306.0985666666666</v>
      </c>
      <c r="Q17" s="98">
        <f t="shared" si="4"/>
        <v>1661.6666666666665</v>
      </c>
      <c r="R17" s="98">
        <f t="shared" si="4"/>
        <v>1001.6666666666666</v>
      </c>
      <c r="S17" s="98">
        <f t="shared" si="4"/>
        <v>781.66666666666663</v>
      </c>
      <c r="T17" s="98">
        <f t="shared" si="4"/>
        <v>561.66666666666663</v>
      </c>
      <c r="U17" s="98">
        <f t="shared" si="4"/>
        <v>121.66666666666664</v>
      </c>
      <c r="V17" s="98">
        <f t="shared" si="4"/>
        <v>31.666666666666643</v>
      </c>
      <c r="W17" s="98">
        <f t="shared" si="4"/>
        <v>0</v>
      </c>
      <c r="X17" s="154">
        <f t="shared" si="4"/>
        <v>0</v>
      </c>
      <c r="Y17" s="195">
        <f t="shared" si="10"/>
        <v>18.110999999999997</v>
      </c>
      <c r="Z17" s="97">
        <f t="shared" si="5"/>
        <v>18.110999999999997</v>
      </c>
      <c r="AA17" s="97">
        <f t="shared" si="5"/>
        <v>14.555</v>
      </c>
      <c r="AB17" s="97">
        <f t="shared" si="5"/>
        <v>5.1349999999999998</v>
      </c>
      <c r="AC17" s="97">
        <f t="shared" si="5"/>
        <v>5.1349999999999998</v>
      </c>
      <c r="AD17" s="97">
        <f t="shared" si="5"/>
        <v>5.1349999999999998</v>
      </c>
      <c r="AE17" s="97">
        <f t="shared" si="5"/>
        <v>5.1349999999999998</v>
      </c>
      <c r="AF17" s="97">
        <f t="shared" si="5"/>
        <v>5.1349999999999998</v>
      </c>
      <c r="AG17" s="97">
        <f t="shared" si="5"/>
        <v>1.0900000000000001</v>
      </c>
      <c r="AH17" s="97">
        <f t="shared" si="5"/>
        <v>0</v>
      </c>
      <c r="AI17" s="196">
        <f t="shared" si="5"/>
        <v>0</v>
      </c>
      <c r="AJ17" s="180">
        <f t="shared" si="11"/>
        <v>286.02449619999993</v>
      </c>
      <c r="AK17" s="98">
        <f t="shared" si="6"/>
        <v>195.46949619999998</v>
      </c>
      <c r="AL17" s="98">
        <f t="shared" si="6"/>
        <v>106.09971099999999</v>
      </c>
      <c r="AM17" s="98">
        <f t="shared" si="6"/>
        <v>75.532499999999999</v>
      </c>
      <c r="AN17" s="98">
        <f t="shared" si="6"/>
        <v>44.722499999999997</v>
      </c>
      <c r="AO17" s="98">
        <f t="shared" si="6"/>
        <v>34.452500000000001</v>
      </c>
      <c r="AP17" s="98">
        <f t="shared" si="6"/>
        <v>24.182500000000001</v>
      </c>
      <c r="AQ17" s="98">
        <f t="shared" si="6"/>
        <v>3.6425000000000001</v>
      </c>
      <c r="AR17" s="98">
        <f t="shared" si="6"/>
        <v>0.52999999999999992</v>
      </c>
      <c r="AS17" s="98">
        <f t="shared" si="6"/>
        <v>0</v>
      </c>
      <c r="AT17" s="154">
        <f t="shared" si="6"/>
        <v>0</v>
      </c>
      <c r="AU17" s="195">
        <f t="shared" si="12"/>
        <v>12.343</v>
      </c>
      <c r="AV17" s="97">
        <f t="shared" si="7"/>
        <v>12.343</v>
      </c>
      <c r="AW17" s="97">
        <f t="shared" si="7"/>
        <v>10.565</v>
      </c>
      <c r="AX17" s="97">
        <f t="shared" si="7"/>
        <v>5.1349999999999998</v>
      </c>
      <c r="AY17" s="97">
        <f t="shared" si="7"/>
        <v>5.1349999999999998</v>
      </c>
      <c r="AZ17" s="97">
        <f t="shared" si="7"/>
        <v>5.1349999999999998</v>
      </c>
      <c r="BA17" s="97">
        <f t="shared" si="7"/>
        <v>5.1349999999999998</v>
      </c>
      <c r="BB17" s="97">
        <f t="shared" si="7"/>
        <v>5.1349999999999998</v>
      </c>
      <c r="BC17" s="97">
        <f t="shared" si="7"/>
        <v>1.0900000000000001</v>
      </c>
      <c r="BD17" s="97">
        <f t="shared" si="7"/>
        <v>0</v>
      </c>
      <c r="BE17" s="196">
        <f t="shared" si="7"/>
        <v>0</v>
      </c>
      <c r="BF17" s="180">
        <f t="shared" si="13"/>
        <v>227.60723659999996</v>
      </c>
      <c r="BG17" s="98">
        <f t="shared" si="8"/>
        <v>165.89223659999999</v>
      </c>
      <c r="BH17" s="98">
        <f t="shared" si="8"/>
        <v>104.76984399999999</v>
      </c>
      <c r="BI17" s="98">
        <f t="shared" si="8"/>
        <v>75.532499999999999</v>
      </c>
      <c r="BJ17" s="98">
        <f t="shared" si="8"/>
        <v>44.722499999999997</v>
      </c>
      <c r="BK17" s="98">
        <f t="shared" si="8"/>
        <v>34.452500000000001</v>
      </c>
      <c r="BL17" s="98">
        <f t="shared" si="8"/>
        <v>24.182500000000001</v>
      </c>
      <c r="BM17" s="98">
        <f t="shared" si="8"/>
        <v>3.6425000000000001</v>
      </c>
      <c r="BN17" s="98">
        <f t="shared" si="8"/>
        <v>0.52999999999999992</v>
      </c>
      <c r="BO17" s="98">
        <f t="shared" si="8"/>
        <v>0</v>
      </c>
      <c r="BP17" s="154">
        <f t="shared" si="8"/>
        <v>0</v>
      </c>
    </row>
    <row r="18" spans="1:68" ht="15" x14ac:dyDescent="0.25">
      <c r="A18" s="210">
        <v>30</v>
      </c>
      <c r="B18" s="143" t="s">
        <v>338</v>
      </c>
      <c r="C18" s="141">
        <f t="shared" si="14"/>
        <v>233</v>
      </c>
      <c r="D18" s="31">
        <f t="shared" si="3"/>
        <v>233</v>
      </c>
      <c r="E18" s="31">
        <f t="shared" si="3"/>
        <v>183</v>
      </c>
      <c r="F18" s="31">
        <f t="shared" si="3"/>
        <v>110</v>
      </c>
      <c r="G18" s="31">
        <f t="shared" si="3"/>
        <v>110</v>
      </c>
      <c r="H18" s="31">
        <f t="shared" si="3"/>
        <v>110</v>
      </c>
      <c r="I18" s="31">
        <f t="shared" si="3"/>
        <v>110</v>
      </c>
      <c r="J18" s="31">
        <f t="shared" si="3"/>
        <v>110</v>
      </c>
      <c r="K18" s="31">
        <f t="shared" si="3"/>
        <v>110</v>
      </c>
      <c r="L18" s="31">
        <f t="shared" si="3"/>
        <v>0</v>
      </c>
      <c r="M18" s="140">
        <f t="shared" si="3"/>
        <v>0</v>
      </c>
      <c r="N18" s="180">
        <f t="shared" si="9"/>
        <v>4729.4335666666666</v>
      </c>
      <c r="O18" s="98">
        <f t="shared" si="4"/>
        <v>3564.4335666666666</v>
      </c>
      <c r="P18" s="98">
        <f t="shared" si="4"/>
        <v>2416.0985666666666</v>
      </c>
      <c r="Q18" s="98">
        <f t="shared" si="4"/>
        <v>1771.6666666666665</v>
      </c>
      <c r="R18" s="98">
        <f t="shared" si="4"/>
        <v>1111.6666666666665</v>
      </c>
      <c r="S18" s="98">
        <f t="shared" si="4"/>
        <v>891.66666666666663</v>
      </c>
      <c r="T18" s="98">
        <f t="shared" si="4"/>
        <v>671.66666666666663</v>
      </c>
      <c r="U18" s="98">
        <f t="shared" si="4"/>
        <v>231.66666666666663</v>
      </c>
      <c r="V18" s="98">
        <f t="shared" si="4"/>
        <v>121.66666666666664</v>
      </c>
      <c r="W18" s="98">
        <f t="shared" si="4"/>
        <v>0</v>
      </c>
      <c r="X18" s="154">
        <f t="shared" si="4"/>
        <v>0</v>
      </c>
      <c r="Y18" s="195">
        <f t="shared" si="10"/>
        <v>18.110999999999997</v>
      </c>
      <c r="Z18" s="97">
        <f t="shared" si="5"/>
        <v>18.110999999999997</v>
      </c>
      <c r="AA18" s="97">
        <f t="shared" si="5"/>
        <v>14.555</v>
      </c>
      <c r="AB18" s="97">
        <f t="shared" si="5"/>
        <v>5.1349999999999998</v>
      </c>
      <c r="AC18" s="97">
        <f t="shared" si="5"/>
        <v>5.1349999999999998</v>
      </c>
      <c r="AD18" s="97">
        <f t="shared" si="5"/>
        <v>5.1349999999999998</v>
      </c>
      <c r="AE18" s="97">
        <f t="shared" si="5"/>
        <v>5.1349999999999998</v>
      </c>
      <c r="AF18" s="97">
        <f t="shared" si="5"/>
        <v>5.1349999999999998</v>
      </c>
      <c r="AG18" s="97">
        <f t="shared" si="5"/>
        <v>5.1349999999999998</v>
      </c>
      <c r="AH18" s="97">
        <f t="shared" si="5"/>
        <v>0</v>
      </c>
      <c r="AI18" s="196">
        <f t="shared" si="5"/>
        <v>0</v>
      </c>
      <c r="AJ18" s="180">
        <f t="shared" si="11"/>
        <v>291.15949620000004</v>
      </c>
      <c r="AK18" s="98">
        <f t="shared" si="6"/>
        <v>200.60449619999997</v>
      </c>
      <c r="AL18" s="98">
        <f t="shared" si="6"/>
        <v>111.23471099999999</v>
      </c>
      <c r="AM18" s="98">
        <f t="shared" si="6"/>
        <v>80.66749999999999</v>
      </c>
      <c r="AN18" s="98">
        <f t="shared" si="6"/>
        <v>49.857500000000002</v>
      </c>
      <c r="AO18" s="98">
        <f t="shared" si="6"/>
        <v>39.587499999999999</v>
      </c>
      <c r="AP18" s="98">
        <f t="shared" si="6"/>
        <v>29.317499999999999</v>
      </c>
      <c r="AQ18" s="98">
        <f t="shared" si="6"/>
        <v>8.7774999999999981</v>
      </c>
      <c r="AR18" s="98">
        <f t="shared" si="6"/>
        <v>3.6425000000000001</v>
      </c>
      <c r="AS18" s="98">
        <f t="shared" si="6"/>
        <v>0</v>
      </c>
      <c r="AT18" s="154">
        <f t="shared" si="6"/>
        <v>0</v>
      </c>
      <c r="AU18" s="195">
        <f t="shared" si="12"/>
        <v>12.343</v>
      </c>
      <c r="AV18" s="97">
        <f t="shared" si="7"/>
        <v>12.343</v>
      </c>
      <c r="AW18" s="97">
        <f t="shared" si="7"/>
        <v>10.565</v>
      </c>
      <c r="AX18" s="97">
        <f t="shared" si="7"/>
        <v>5.1349999999999998</v>
      </c>
      <c r="AY18" s="97">
        <f t="shared" si="7"/>
        <v>5.1349999999999998</v>
      </c>
      <c r="AZ18" s="97">
        <f t="shared" si="7"/>
        <v>5.1349999999999998</v>
      </c>
      <c r="BA18" s="97">
        <f t="shared" si="7"/>
        <v>5.1349999999999998</v>
      </c>
      <c r="BB18" s="97">
        <f t="shared" si="7"/>
        <v>5.1349999999999998</v>
      </c>
      <c r="BC18" s="97">
        <f t="shared" si="7"/>
        <v>5.1349999999999998</v>
      </c>
      <c r="BD18" s="97">
        <f t="shared" si="7"/>
        <v>0</v>
      </c>
      <c r="BE18" s="196">
        <f t="shared" si="7"/>
        <v>0</v>
      </c>
      <c r="BF18" s="180">
        <f t="shared" si="13"/>
        <v>232.74223660000001</v>
      </c>
      <c r="BG18" s="98">
        <f t="shared" si="8"/>
        <v>171.02723659999998</v>
      </c>
      <c r="BH18" s="98">
        <f t="shared" si="8"/>
        <v>109.904844</v>
      </c>
      <c r="BI18" s="98">
        <f t="shared" si="8"/>
        <v>80.66749999999999</v>
      </c>
      <c r="BJ18" s="98">
        <f t="shared" si="8"/>
        <v>49.857500000000002</v>
      </c>
      <c r="BK18" s="98">
        <f t="shared" si="8"/>
        <v>39.587499999999999</v>
      </c>
      <c r="BL18" s="98">
        <f t="shared" si="8"/>
        <v>29.317499999999999</v>
      </c>
      <c r="BM18" s="98">
        <f t="shared" si="8"/>
        <v>8.7774999999999981</v>
      </c>
      <c r="BN18" s="98">
        <f t="shared" si="8"/>
        <v>3.6425000000000001</v>
      </c>
      <c r="BO18" s="98">
        <f t="shared" si="8"/>
        <v>0</v>
      </c>
      <c r="BP18" s="154">
        <f t="shared" si="8"/>
        <v>0</v>
      </c>
    </row>
    <row r="19" spans="1:68" ht="15" x14ac:dyDescent="0.25">
      <c r="A19" s="210">
        <v>36</v>
      </c>
      <c r="B19" s="143" t="s">
        <v>338</v>
      </c>
      <c r="C19" s="141">
        <f t="shared" si="14"/>
        <v>233</v>
      </c>
      <c r="D19" s="31">
        <f t="shared" si="3"/>
        <v>233</v>
      </c>
      <c r="E19" s="31">
        <f t="shared" si="3"/>
        <v>183</v>
      </c>
      <c r="F19" s="31">
        <f t="shared" si="3"/>
        <v>110</v>
      </c>
      <c r="G19" s="31">
        <f t="shared" si="3"/>
        <v>110</v>
      </c>
      <c r="H19" s="31">
        <f t="shared" si="3"/>
        <v>110</v>
      </c>
      <c r="I19" s="31">
        <f t="shared" si="3"/>
        <v>110</v>
      </c>
      <c r="J19" s="31">
        <f t="shared" si="3"/>
        <v>110</v>
      </c>
      <c r="K19" s="31">
        <f t="shared" si="3"/>
        <v>110</v>
      </c>
      <c r="L19" s="31">
        <f t="shared" si="3"/>
        <v>110</v>
      </c>
      <c r="M19" s="140">
        <f t="shared" si="3"/>
        <v>0</v>
      </c>
      <c r="N19" s="180">
        <f t="shared" si="9"/>
        <v>5389.4335666666666</v>
      </c>
      <c r="O19" s="98">
        <f t="shared" si="4"/>
        <v>4224.4335666666666</v>
      </c>
      <c r="P19" s="98">
        <f t="shared" si="4"/>
        <v>3076.098566666667</v>
      </c>
      <c r="Q19" s="98">
        <f t="shared" si="4"/>
        <v>2431.666666666667</v>
      </c>
      <c r="R19" s="98">
        <f t="shared" si="4"/>
        <v>1771.6666666666667</v>
      </c>
      <c r="S19" s="98">
        <f t="shared" si="4"/>
        <v>1551.6666666666667</v>
      </c>
      <c r="T19" s="98">
        <f t="shared" si="4"/>
        <v>1331.6666666666667</v>
      </c>
      <c r="U19" s="98">
        <f t="shared" si="4"/>
        <v>891.66666666666674</v>
      </c>
      <c r="V19" s="98">
        <f t="shared" si="4"/>
        <v>781.66666666666674</v>
      </c>
      <c r="W19" s="98">
        <f t="shared" si="4"/>
        <v>121.66666666666671</v>
      </c>
      <c r="X19" s="154">
        <f t="shared" si="4"/>
        <v>0</v>
      </c>
      <c r="Y19" s="195">
        <f t="shared" si="10"/>
        <v>18.110999999999997</v>
      </c>
      <c r="Z19" s="97">
        <f t="shared" si="5"/>
        <v>18.110999999999997</v>
      </c>
      <c r="AA19" s="97">
        <f t="shared" si="5"/>
        <v>14.555</v>
      </c>
      <c r="AB19" s="97">
        <f t="shared" si="5"/>
        <v>5.1349999999999998</v>
      </c>
      <c r="AC19" s="97">
        <f t="shared" si="5"/>
        <v>5.1349999999999998</v>
      </c>
      <c r="AD19" s="97">
        <f t="shared" si="5"/>
        <v>5.1349999999999998</v>
      </c>
      <c r="AE19" s="97">
        <f t="shared" si="5"/>
        <v>5.1349999999999998</v>
      </c>
      <c r="AF19" s="97">
        <f t="shared" si="5"/>
        <v>5.1349999999999998</v>
      </c>
      <c r="AG19" s="97">
        <f t="shared" si="5"/>
        <v>5.1349999999999998</v>
      </c>
      <c r="AH19" s="97">
        <f t="shared" si="5"/>
        <v>5.1349999999999998</v>
      </c>
      <c r="AI19" s="196">
        <f t="shared" si="5"/>
        <v>0</v>
      </c>
      <c r="AJ19" s="180">
        <f t="shared" si="11"/>
        <v>321.96949619999998</v>
      </c>
      <c r="AK19" s="98">
        <f t="shared" si="6"/>
        <v>231.4144962</v>
      </c>
      <c r="AL19" s="98">
        <f t="shared" si="6"/>
        <v>142.04471100000001</v>
      </c>
      <c r="AM19" s="98">
        <f t="shared" si="6"/>
        <v>111.47750000000001</v>
      </c>
      <c r="AN19" s="98">
        <f t="shared" si="6"/>
        <v>80.66749999999999</v>
      </c>
      <c r="AO19" s="98">
        <f t="shared" si="6"/>
        <v>70.397500000000008</v>
      </c>
      <c r="AP19" s="98">
        <f t="shared" si="6"/>
        <v>60.127499999999998</v>
      </c>
      <c r="AQ19" s="98">
        <f t="shared" si="6"/>
        <v>39.587499999999999</v>
      </c>
      <c r="AR19" s="98">
        <f t="shared" si="6"/>
        <v>34.452500000000001</v>
      </c>
      <c r="AS19" s="98">
        <f t="shared" si="6"/>
        <v>3.6425000000000001</v>
      </c>
      <c r="AT19" s="154">
        <f t="shared" si="6"/>
        <v>0</v>
      </c>
      <c r="AU19" s="195">
        <f t="shared" si="12"/>
        <v>12.343</v>
      </c>
      <c r="AV19" s="97">
        <f t="shared" si="7"/>
        <v>12.343</v>
      </c>
      <c r="AW19" s="97">
        <f t="shared" si="7"/>
        <v>10.565</v>
      </c>
      <c r="AX19" s="97">
        <f t="shared" si="7"/>
        <v>5.1349999999999998</v>
      </c>
      <c r="AY19" s="97">
        <f t="shared" si="7"/>
        <v>5.1349999999999998</v>
      </c>
      <c r="AZ19" s="97">
        <f t="shared" si="7"/>
        <v>5.1349999999999998</v>
      </c>
      <c r="BA19" s="97">
        <f t="shared" si="7"/>
        <v>5.1349999999999998</v>
      </c>
      <c r="BB19" s="97">
        <f t="shared" si="7"/>
        <v>5.1349999999999998</v>
      </c>
      <c r="BC19" s="97">
        <f t="shared" si="7"/>
        <v>5.1349999999999998</v>
      </c>
      <c r="BD19" s="97">
        <f t="shared" si="7"/>
        <v>5.1349999999999998</v>
      </c>
      <c r="BE19" s="196">
        <f t="shared" si="7"/>
        <v>0</v>
      </c>
      <c r="BF19" s="180">
        <f t="shared" si="13"/>
        <v>263.55223660000001</v>
      </c>
      <c r="BG19" s="98">
        <f t="shared" si="8"/>
        <v>201.83723660000001</v>
      </c>
      <c r="BH19" s="98">
        <f t="shared" si="8"/>
        <v>140.714844</v>
      </c>
      <c r="BI19" s="98">
        <f t="shared" si="8"/>
        <v>111.47750000000001</v>
      </c>
      <c r="BJ19" s="98">
        <f t="shared" si="8"/>
        <v>80.66749999999999</v>
      </c>
      <c r="BK19" s="98">
        <f t="shared" si="8"/>
        <v>70.397500000000008</v>
      </c>
      <c r="BL19" s="98">
        <f t="shared" si="8"/>
        <v>60.127499999999998</v>
      </c>
      <c r="BM19" s="98">
        <f t="shared" si="8"/>
        <v>39.587499999999999</v>
      </c>
      <c r="BN19" s="98">
        <f t="shared" si="8"/>
        <v>34.452500000000001</v>
      </c>
      <c r="BO19" s="98">
        <f t="shared" si="8"/>
        <v>3.6425000000000001</v>
      </c>
      <c r="BP19" s="154">
        <f t="shared" si="8"/>
        <v>0</v>
      </c>
    </row>
    <row r="20" spans="1:68" ht="15.75" thickBot="1" x14ac:dyDescent="0.3">
      <c r="A20" s="211">
        <v>40</v>
      </c>
      <c r="B20" s="146" t="s">
        <v>338</v>
      </c>
      <c r="C20" s="148">
        <f t="shared" si="14"/>
        <v>319</v>
      </c>
      <c r="D20" s="145">
        <f t="shared" si="3"/>
        <v>319</v>
      </c>
      <c r="E20" s="145">
        <f t="shared" si="3"/>
        <v>269</v>
      </c>
      <c r="F20" s="145">
        <f t="shared" si="3"/>
        <v>196</v>
      </c>
      <c r="G20" s="145">
        <f t="shared" si="3"/>
        <v>196</v>
      </c>
      <c r="H20" s="145">
        <f t="shared" si="3"/>
        <v>196</v>
      </c>
      <c r="I20" s="145">
        <f t="shared" si="3"/>
        <v>196</v>
      </c>
      <c r="J20" s="145">
        <f t="shared" si="3"/>
        <v>196</v>
      </c>
      <c r="K20" s="145">
        <f t="shared" si="3"/>
        <v>196</v>
      </c>
      <c r="L20" s="145">
        <f t="shared" si="3"/>
        <v>196</v>
      </c>
      <c r="M20" s="164">
        <f t="shared" si="3"/>
        <v>196</v>
      </c>
      <c r="N20" s="181">
        <f t="shared" si="9"/>
        <v>9651.4335666666648</v>
      </c>
      <c r="O20" s="157">
        <f t="shared" si="4"/>
        <v>8056.4335666666666</v>
      </c>
      <c r="P20" s="157">
        <f t="shared" si="4"/>
        <v>6478.0985666666666</v>
      </c>
      <c r="Q20" s="157">
        <f t="shared" si="4"/>
        <v>5403.666666666667</v>
      </c>
      <c r="R20" s="157">
        <f t="shared" si="4"/>
        <v>4227.666666666667</v>
      </c>
      <c r="S20" s="157">
        <f t="shared" si="4"/>
        <v>3835.666666666667</v>
      </c>
      <c r="T20" s="157">
        <f t="shared" si="4"/>
        <v>3443.666666666667</v>
      </c>
      <c r="U20" s="157">
        <f t="shared" si="4"/>
        <v>2659.6666666666665</v>
      </c>
      <c r="V20" s="157">
        <f t="shared" si="4"/>
        <v>2463.6666666666665</v>
      </c>
      <c r="W20" s="157">
        <f t="shared" si="4"/>
        <v>1287.6666666666667</v>
      </c>
      <c r="X20" s="158">
        <f t="shared" si="4"/>
        <v>503.66666666666674</v>
      </c>
      <c r="Y20" s="197">
        <f t="shared" si="10"/>
        <v>30.152999999999999</v>
      </c>
      <c r="Z20" s="191">
        <f t="shared" si="5"/>
        <v>30.152999999999999</v>
      </c>
      <c r="AA20" s="191">
        <f t="shared" si="5"/>
        <v>26.597000000000001</v>
      </c>
      <c r="AB20" s="191">
        <f t="shared" si="5"/>
        <v>17.177</v>
      </c>
      <c r="AC20" s="191">
        <f t="shared" si="5"/>
        <v>17.177</v>
      </c>
      <c r="AD20" s="191">
        <f t="shared" si="5"/>
        <v>17.177</v>
      </c>
      <c r="AE20" s="191">
        <f t="shared" si="5"/>
        <v>17.177</v>
      </c>
      <c r="AF20" s="191">
        <f t="shared" si="5"/>
        <v>17.177</v>
      </c>
      <c r="AG20" s="191">
        <f t="shared" si="5"/>
        <v>17.177</v>
      </c>
      <c r="AH20" s="191">
        <f t="shared" si="5"/>
        <v>17.177</v>
      </c>
      <c r="AI20" s="198">
        <f t="shared" si="5"/>
        <v>17.177</v>
      </c>
      <c r="AJ20" s="181">
        <f t="shared" si="11"/>
        <v>857.34099619999995</v>
      </c>
      <c r="AK20" s="157">
        <f t="shared" si="6"/>
        <v>706.57599619999996</v>
      </c>
      <c r="AL20" s="157">
        <f t="shared" si="6"/>
        <v>556.99621100000002</v>
      </c>
      <c r="AM20" s="157">
        <f t="shared" si="6"/>
        <v>466.21899999999999</v>
      </c>
      <c r="AN20" s="157">
        <f t="shared" si="6"/>
        <v>363.15699999999998</v>
      </c>
      <c r="AO20" s="157">
        <f t="shared" si="6"/>
        <v>328.803</v>
      </c>
      <c r="AP20" s="157">
        <f t="shared" si="6"/>
        <v>294.44900000000001</v>
      </c>
      <c r="AQ20" s="157">
        <f t="shared" si="6"/>
        <v>225.74100000000001</v>
      </c>
      <c r="AR20" s="157">
        <f t="shared" si="6"/>
        <v>208.56399999999999</v>
      </c>
      <c r="AS20" s="157">
        <f t="shared" si="6"/>
        <v>105.502</v>
      </c>
      <c r="AT20" s="158">
        <f t="shared" si="6"/>
        <v>36.793999999999997</v>
      </c>
      <c r="AU20" s="197">
        <f t="shared" si="12"/>
        <v>24.384999999999998</v>
      </c>
      <c r="AV20" s="191">
        <f t="shared" si="7"/>
        <v>24.384999999999998</v>
      </c>
      <c r="AW20" s="191">
        <f t="shared" si="7"/>
        <v>22.606999999999999</v>
      </c>
      <c r="AX20" s="191">
        <f t="shared" si="7"/>
        <v>17.177</v>
      </c>
      <c r="AY20" s="191">
        <f t="shared" si="7"/>
        <v>17.177</v>
      </c>
      <c r="AZ20" s="191">
        <f t="shared" si="7"/>
        <v>17.177</v>
      </c>
      <c r="BA20" s="191">
        <f t="shared" si="7"/>
        <v>17.177</v>
      </c>
      <c r="BB20" s="191">
        <f t="shared" si="7"/>
        <v>17.177</v>
      </c>
      <c r="BC20" s="191">
        <f t="shared" si="7"/>
        <v>17.177</v>
      </c>
      <c r="BD20" s="191">
        <f t="shared" si="7"/>
        <v>17.177</v>
      </c>
      <c r="BE20" s="198">
        <f t="shared" si="7"/>
        <v>17.177</v>
      </c>
      <c r="BF20" s="181">
        <f t="shared" si="13"/>
        <v>798.92373659999987</v>
      </c>
      <c r="BG20" s="157">
        <f t="shared" si="8"/>
        <v>676.99873659999992</v>
      </c>
      <c r="BH20" s="157">
        <f t="shared" si="8"/>
        <v>555.66634399999998</v>
      </c>
      <c r="BI20" s="157">
        <f t="shared" si="8"/>
        <v>466.21899999999999</v>
      </c>
      <c r="BJ20" s="157">
        <f t="shared" si="8"/>
        <v>363.15699999999998</v>
      </c>
      <c r="BK20" s="157">
        <f t="shared" si="8"/>
        <v>328.803</v>
      </c>
      <c r="BL20" s="157">
        <f t="shared" si="8"/>
        <v>294.44900000000001</v>
      </c>
      <c r="BM20" s="157">
        <f t="shared" si="8"/>
        <v>225.74100000000001</v>
      </c>
      <c r="BN20" s="157">
        <f t="shared" si="8"/>
        <v>208.56399999999999</v>
      </c>
      <c r="BO20" s="157">
        <f t="shared" si="8"/>
        <v>105.502</v>
      </c>
      <c r="BP20" s="158">
        <f t="shared" si="8"/>
        <v>36.793999999999997</v>
      </c>
    </row>
  </sheetData>
  <mergeCells count="15">
    <mergeCell ref="AU13:BE13"/>
    <mergeCell ref="BF13:BP13"/>
    <mergeCell ref="V3:Y3"/>
    <mergeCell ref="A13:A14"/>
    <mergeCell ref="A3:A4"/>
    <mergeCell ref="B3:E3"/>
    <mergeCell ref="F3:I3"/>
    <mergeCell ref="J3:M3"/>
    <mergeCell ref="N3:Q3"/>
    <mergeCell ref="R3:U3"/>
    <mergeCell ref="B13:B14"/>
    <mergeCell ref="C13:M13"/>
    <mergeCell ref="N13:X13"/>
    <mergeCell ref="Y13:AI13"/>
    <mergeCell ref="AJ13:AT1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K47"/>
  <sheetViews>
    <sheetView topLeftCell="A16" workbookViewId="0">
      <selection activeCell="J19" sqref="J19"/>
    </sheetView>
  </sheetViews>
  <sheetFormatPr defaultRowHeight="12.75" x14ac:dyDescent="0.2"/>
  <cols>
    <col min="2" max="2" width="8.85546875" style="11" customWidth="1"/>
    <col min="6" max="6" width="21" bestFit="1" customWidth="1"/>
    <col min="15" max="15" width="19.85546875" bestFit="1" customWidth="1"/>
  </cols>
  <sheetData>
    <row r="2" spans="2:11" ht="15" x14ac:dyDescent="0.25">
      <c r="B2" s="23" t="s">
        <v>53</v>
      </c>
      <c r="C2" s="23" t="s">
        <v>54</v>
      </c>
      <c r="F2" t="s">
        <v>106</v>
      </c>
    </row>
    <row r="3" spans="2:11" ht="15" x14ac:dyDescent="0.25">
      <c r="B3" s="25">
        <v>0</v>
      </c>
      <c r="C3" s="26">
        <v>-5</v>
      </c>
      <c r="F3" s="23" t="s">
        <v>64</v>
      </c>
      <c r="G3" s="25">
        <f>'Mast Arm 1 Design'!B13-MAX(IF(AND('Mast Arm 1 Design'!C13&lt;&gt;0,'Mast Arm 1 Design'!B13&lt;='Mast Arm 1 Design'!$D$8),0.5*VLOOKUP('Mast Arm 1 Design'!C13,'Equipment Wt &amp; Ht'!$A$4:$L$36,11,0),0),0.5*'Mast Arm 1 Design'!F13/12,0.5*'Mast Arm 1 Design'!J13/12)</f>
        <v>0</v>
      </c>
      <c r="H3" s="25">
        <f>'Mast Arm 1 Design'!B13+MAX(IF(AND('Mast Arm 1 Design'!C13&lt;&gt;0,'Mast Arm 1 Design'!B13&lt;='Mast Arm 1 Design'!$D$8),0.5*VLOOKUP('Mast Arm 1 Design'!C13,'Equipment Wt &amp; Ht'!$A$3:$L$36,11,0),0),0.5*'Mast Arm 1 Design'!F13/12,0.5*'Mast Arm 1 Design'!J13/12)</f>
        <v>0</v>
      </c>
      <c r="I3" s="25">
        <f t="shared" ref="I3" si="0">H3</f>
        <v>0</v>
      </c>
      <c r="J3" s="25">
        <f t="shared" ref="J3" si="1">G3</f>
        <v>0</v>
      </c>
      <c r="K3" s="25">
        <f t="shared" ref="K3" si="2">G3</f>
        <v>0</v>
      </c>
    </row>
    <row r="4" spans="2:11" ht="15" x14ac:dyDescent="0.25">
      <c r="B4" s="25">
        <v>-1.5</v>
      </c>
      <c r="C4" s="26">
        <v>-5</v>
      </c>
      <c r="F4" s="23" t="s">
        <v>63</v>
      </c>
      <c r="G4" s="25">
        <f>'Mast Arm 1 Design'!B14-MAX(IF(AND('Mast Arm 1 Design'!C14&lt;&gt;0,'Mast Arm 1 Design'!B14&lt;='Mast Arm 1 Design'!$D$8),0.5*VLOOKUP('Mast Arm 1 Design'!C14,'Equipment Wt &amp; Ht'!$A$4:$L$36,11,0),0),0.5*'Mast Arm 1 Design'!F14/12,0.5*'Mast Arm 1 Design'!J14/12)</f>
        <v>0</v>
      </c>
      <c r="H4" s="25">
        <f>'Mast Arm 1 Design'!B14+MAX(IF(AND('Mast Arm 1 Design'!C14&lt;&gt;0,'Mast Arm 1 Design'!B14&lt;='Mast Arm 1 Design'!$D$8),0.5*VLOOKUP('Mast Arm 1 Design'!C14,'Equipment Wt &amp; Ht'!$A$3:$L$36,11,0),0),0.5*'Mast Arm 1 Design'!F14/12,0.5*'Mast Arm 1 Design'!J14/12)</f>
        <v>0</v>
      </c>
      <c r="I4" s="25">
        <f t="shared" ref="I4:I8" si="3">H4</f>
        <v>0</v>
      </c>
      <c r="J4" s="25">
        <f t="shared" ref="J4:J8" si="4">G4</f>
        <v>0</v>
      </c>
      <c r="K4" s="25">
        <f t="shared" ref="K4:K8" si="5">G4</f>
        <v>0</v>
      </c>
    </row>
    <row r="5" spans="2:11" ht="15" x14ac:dyDescent="0.25">
      <c r="B5" s="25">
        <v>-1.5</v>
      </c>
      <c r="C5" s="26">
        <v>2</v>
      </c>
      <c r="F5" s="23" t="s">
        <v>62</v>
      </c>
      <c r="G5" s="25">
        <f>'Mast Arm 1 Design'!B15-MAX(IF(AND('Mast Arm 1 Design'!C15&lt;&gt;0,'Mast Arm 1 Design'!B15&lt;='Mast Arm 1 Design'!$D$8),0.5*VLOOKUP('Mast Arm 1 Design'!C15,'Equipment Wt &amp; Ht'!$A$4:$L$36,11,0),0),0.5*'Mast Arm 1 Design'!F15/12,0.5*'Mast Arm 1 Design'!J15/12)</f>
        <v>0</v>
      </c>
      <c r="H5" s="25">
        <f>'Mast Arm 1 Design'!B15+MAX(IF(AND('Mast Arm 1 Design'!C15&lt;&gt;0,'Mast Arm 1 Design'!B15&lt;='Mast Arm 1 Design'!$D$8),0.5*VLOOKUP('Mast Arm 1 Design'!C15,'Equipment Wt &amp; Ht'!$A$3:$L$36,11,0),0),0.5*'Mast Arm 1 Design'!F15/12,0.5*'Mast Arm 1 Design'!J15/12)</f>
        <v>0</v>
      </c>
      <c r="I5" s="25">
        <f t="shared" si="3"/>
        <v>0</v>
      </c>
      <c r="J5" s="25">
        <f t="shared" si="4"/>
        <v>0</v>
      </c>
      <c r="K5" s="25">
        <f t="shared" si="5"/>
        <v>0</v>
      </c>
    </row>
    <row r="6" spans="2:11" ht="15" x14ac:dyDescent="0.25">
      <c r="B6" s="25">
        <v>0</v>
      </c>
      <c r="C6" s="26">
        <v>2</v>
      </c>
      <c r="F6" s="23" t="s">
        <v>61</v>
      </c>
      <c r="G6" s="25">
        <f>'Mast Arm 1 Design'!B16-MAX(IF(AND('Mast Arm 1 Design'!C16&lt;&gt;0,'Mast Arm 1 Design'!B16&lt;='Mast Arm 1 Design'!$D$8),0.5*VLOOKUP('Mast Arm 1 Design'!C16,'Equipment Wt &amp; Ht'!$A$4:$L$36,11,0),0),0.5*'Mast Arm 1 Design'!F16/12,0.5*'Mast Arm 1 Design'!J16/12)</f>
        <v>0</v>
      </c>
      <c r="H6" s="25">
        <f>'Mast Arm 1 Design'!B16+MAX(IF(AND('Mast Arm 1 Design'!C16&lt;&gt;0,'Mast Arm 1 Design'!B16&lt;='Mast Arm 1 Design'!$D$8),0.5*VLOOKUP('Mast Arm 1 Design'!C16,'Equipment Wt &amp; Ht'!$A$3:$L$36,11,0),0),0.5*'Mast Arm 1 Design'!F16/12,0.5*'Mast Arm 1 Design'!J16/12)</f>
        <v>0</v>
      </c>
      <c r="I6" s="25">
        <f t="shared" si="3"/>
        <v>0</v>
      </c>
      <c r="J6" s="25">
        <f t="shared" si="4"/>
        <v>0</v>
      </c>
      <c r="K6" s="25">
        <f t="shared" si="5"/>
        <v>0</v>
      </c>
    </row>
    <row r="7" spans="2:11" ht="15" x14ac:dyDescent="0.25">
      <c r="B7" s="25">
        <v>0</v>
      </c>
      <c r="C7" s="26">
        <v>-5</v>
      </c>
      <c r="F7" s="23" t="s">
        <v>60</v>
      </c>
      <c r="G7" s="25">
        <f>'Mast Arm 1 Design'!B17-MAX(IF(AND('Mast Arm 1 Design'!C17&lt;&gt;0,'Mast Arm 1 Design'!B17&lt;='Mast Arm 1 Design'!$D$8),0.5*VLOOKUP('Mast Arm 1 Design'!C17,'Equipment Wt &amp; Ht'!$A$4:$L$36,11,0),0),0.5*'Mast Arm 1 Design'!F17/12,0.5*'Mast Arm 1 Design'!J17/12)</f>
        <v>0</v>
      </c>
      <c r="H7" s="25">
        <f>'Mast Arm 1 Design'!B17+MAX(IF(AND('Mast Arm 1 Design'!C17&lt;&gt;0,'Mast Arm 1 Design'!B17&lt;='Mast Arm 1 Design'!$D$8),0.5*VLOOKUP('Mast Arm 1 Design'!C17,'Equipment Wt &amp; Ht'!$A$3:$L$36,11,0),0),0.5*'Mast Arm 1 Design'!F17/12,0.5*'Mast Arm 1 Design'!J17/12)</f>
        <v>0</v>
      </c>
      <c r="I7" s="25">
        <f t="shared" si="3"/>
        <v>0</v>
      </c>
      <c r="J7" s="25">
        <f t="shared" si="4"/>
        <v>0</v>
      </c>
      <c r="K7" s="25">
        <f t="shared" si="5"/>
        <v>0</v>
      </c>
    </row>
    <row r="8" spans="2:11" ht="15" x14ac:dyDescent="0.25">
      <c r="F8" s="23" t="s">
        <v>59</v>
      </c>
      <c r="G8" s="25">
        <f>'Mast Arm 1 Design'!B18-MAX(IF(AND('Mast Arm 1 Design'!C18&lt;&gt;0,'Mast Arm 1 Design'!B18&lt;='Mast Arm 1 Design'!$D$8),0.5*VLOOKUP('Mast Arm 1 Design'!C18,'Equipment Wt &amp; Ht'!$A$4:$L$36,11,0),0),0.5*'Mast Arm 1 Design'!F18/12,0.5*'Mast Arm 1 Design'!J18/12)</f>
        <v>0</v>
      </c>
      <c r="H8" s="25">
        <f>'Mast Arm 1 Design'!B18+MAX(IF(AND('Mast Arm 1 Design'!C18&lt;&gt;0,'Mast Arm 1 Design'!B18&lt;='Mast Arm 1 Design'!$D$8),0.5*VLOOKUP('Mast Arm 1 Design'!C18,'Equipment Wt &amp; Ht'!$A$3:$L$36,11,0),0),0.5*'Mast Arm 1 Design'!F18/12,0.5*'Mast Arm 1 Design'!J18/12)</f>
        <v>0</v>
      </c>
      <c r="I8" s="25">
        <f t="shared" si="3"/>
        <v>0</v>
      </c>
      <c r="J8" s="25">
        <f t="shared" si="4"/>
        <v>0</v>
      </c>
      <c r="K8" s="25">
        <f t="shared" si="5"/>
        <v>0</v>
      </c>
    </row>
    <row r="9" spans="2:11" ht="15" x14ac:dyDescent="0.25">
      <c r="B9" s="11" t="s">
        <v>27</v>
      </c>
      <c r="F9" s="23" t="s">
        <v>58</v>
      </c>
      <c r="G9" s="25">
        <f>'Mast Arm 1 Design'!B19-MAX(IF(AND('Mast Arm 1 Design'!C19&lt;&gt;0,'Mast Arm 1 Design'!B19&lt;='Mast Arm 1 Design'!$D$8),0.5*VLOOKUP('Mast Arm 1 Design'!C19,'Equipment Wt &amp; Ht'!$A$4:$L$36,11,0),0),0.5*'Mast Arm 1 Design'!F19/12,0.5*'Mast Arm 1 Design'!J19/12)</f>
        <v>0</v>
      </c>
      <c r="H9" s="25">
        <f>'Mast Arm 1 Design'!B19+MAX(IF(AND('Mast Arm 1 Design'!C19&lt;&gt;0,'Mast Arm 1 Design'!B19&lt;='Mast Arm 1 Design'!$D$8),0.5*VLOOKUP('Mast Arm 1 Design'!C19,'Equipment Wt &amp; Ht'!$A$3:$L$36,11,0),0),0.5*'Mast Arm 1 Design'!F19/12,0.5*'Mast Arm 1 Design'!J19/12)</f>
        <v>0</v>
      </c>
      <c r="I9" s="25">
        <f t="shared" ref="I9:I12" si="6">H9</f>
        <v>0</v>
      </c>
      <c r="J9" s="25">
        <f t="shared" ref="J9:J12" si="7">G9</f>
        <v>0</v>
      </c>
      <c r="K9" s="25">
        <f t="shared" ref="K9:K12" si="8">G9</f>
        <v>0</v>
      </c>
    </row>
    <row r="10" spans="2:11" ht="15" x14ac:dyDescent="0.25">
      <c r="B10" s="23" t="s">
        <v>51</v>
      </c>
      <c r="C10" s="23" t="s">
        <v>52</v>
      </c>
      <c r="F10" s="23" t="s">
        <v>57</v>
      </c>
      <c r="G10" s="25">
        <f>'Mast Arm 1 Design'!B20-MAX(IF(AND('Mast Arm 1 Design'!C20&lt;&gt;0,'Mast Arm 1 Design'!B20&lt;='Mast Arm 1 Design'!$D$8),0.5*VLOOKUP('Mast Arm 1 Design'!C20,'Equipment Wt &amp; Ht'!$A$4:$L$36,11,0),0),0.5*'Mast Arm 1 Design'!F20/12,0.5*'Mast Arm 1 Design'!J20/12)</f>
        <v>0</v>
      </c>
      <c r="H10" s="25">
        <f>'Mast Arm 1 Design'!B20+MAX(IF(AND('Mast Arm 1 Design'!C20&lt;&gt;0,'Mast Arm 1 Design'!B20&lt;='Mast Arm 1 Design'!$D$8),0.5*VLOOKUP('Mast Arm 1 Design'!C20,'Equipment Wt &amp; Ht'!$A$3:$L$36,11,0),0),0.5*'Mast Arm 1 Design'!F20/12,0.5*'Mast Arm 1 Design'!J20/12)</f>
        <v>0</v>
      </c>
      <c r="I10" s="25">
        <f t="shared" si="6"/>
        <v>0</v>
      </c>
      <c r="J10" s="25">
        <f t="shared" si="7"/>
        <v>0</v>
      </c>
      <c r="K10" s="25">
        <f t="shared" si="8"/>
        <v>0</v>
      </c>
    </row>
    <row r="11" spans="2:11" ht="15" x14ac:dyDescent="0.25">
      <c r="B11" s="24">
        <f>'Mast Arm 1 Design'!$D$8</f>
        <v>0</v>
      </c>
      <c r="C11" s="24">
        <v>-0.5</v>
      </c>
      <c r="F11" s="23" t="s">
        <v>56</v>
      </c>
      <c r="G11" s="25">
        <f>'Mast Arm 1 Design'!B21-MAX(IF(AND('Mast Arm 1 Design'!C21&lt;&gt;0,'Mast Arm 1 Design'!B21&lt;='Mast Arm 1 Design'!$D$8),0.5*VLOOKUP('Mast Arm 1 Design'!C21,'Equipment Wt &amp; Ht'!$A$4:$L$36,11,0),0),0.5*'Mast Arm 1 Design'!F21/12,0.5*'Mast Arm 1 Design'!J21/12)</f>
        <v>0</v>
      </c>
      <c r="H11" s="25">
        <f>'Mast Arm 1 Design'!B21+MAX(IF(AND('Mast Arm 1 Design'!C21&lt;&gt;0,'Mast Arm 1 Design'!B21&lt;='Mast Arm 1 Design'!$D$8),0.5*VLOOKUP('Mast Arm 1 Design'!C21,'Equipment Wt &amp; Ht'!$A$3:$L$36,11,0),0),0.5*'Mast Arm 1 Design'!F21/12,0.5*'Mast Arm 1 Design'!J21/12)</f>
        <v>0</v>
      </c>
      <c r="I11" s="25">
        <f t="shared" si="6"/>
        <v>0</v>
      </c>
      <c r="J11" s="25">
        <f t="shared" si="7"/>
        <v>0</v>
      </c>
      <c r="K11" s="25">
        <f t="shared" si="8"/>
        <v>0</v>
      </c>
    </row>
    <row r="12" spans="2:11" ht="15" x14ac:dyDescent="0.25">
      <c r="B12" s="24">
        <v>0</v>
      </c>
      <c r="C12" s="24">
        <v>-0.5</v>
      </c>
      <c r="F12" s="23" t="s">
        <v>55</v>
      </c>
      <c r="G12" s="25">
        <f>'Mast Arm 1 Design'!B22-MAX(IF(AND('Mast Arm 1 Design'!C22&lt;&gt;0,'Mast Arm 1 Design'!B22&lt;='Mast Arm 1 Design'!$D$8),0.5*VLOOKUP('Mast Arm 1 Design'!C22,'Equipment Wt &amp; Ht'!$A$4:$L$36,11,0),0),0.5*'Mast Arm 1 Design'!F22/12,0.5*'Mast Arm 1 Design'!J22/12)</f>
        <v>0</v>
      </c>
      <c r="H12" s="25">
        <f>'Mast Arm 1 Design'!B22+MAX(IF(AND('Mast Arm 1 Design'!C22&lt;&gt;0,'Mast Arm 1 Design'!B22&lt;='Mast Arm 1 Design'!$D$8),0.5*VLOOKUP('Mast Arm 1 Design'!C22,'Equipment Wt &amp; Ht'!$A$3:$L$36,11,0),0),0.5*'Mast Arm 1 Design'!F22/12,0.5*'Mast Arm 1 Design'!J22/12)</f>
        <v>0</v>
      </c>
      <c r="I12" s="25">
        <f t="shared" si="6"/>
        <v>0</v>
      </c>
      <c r="J12" s="25">
        <f t="shared" si="7"/>
        <v>0</v>
      </c>
      <c r="K12" s="25">
        <f t="shared" si="8"/>
        <v>0</v>
      </c>
    </row>
    <row r="13" spans="2:11" x14ac:dyDescent="0.2">
      <c r="B13" s="24">
        <v>0</v>
      </c>
      <c r="C13" s="24">
        <f>-C12</f>
        <v>0.5</v>
      </c>
    </row>
    <row r="14" spans="2:11" ht="15" x14ac:dyDescent="0.25">
      <c r="B14" s="24">
        <f>'Mast Arm 1 Design'!$D$8</f>
        <v>0</v>
      </c>
      <c r="C14" s="24">
        <f>-C11</f>
        <v>0.5</v>
      </c>
      <c r="F14" s="23" t="s">
        <v>74</v>
      </c>
      <c r="G14" s="24">
        <f>MAX(IF(AND('Mast Arm 1 Design'!C13&lt;&gt;0,'Mast Arm 1 Design'!B13&lt;='Mast Arm 1 Design'!$D$8),0.5*VLOOKUP('Mast Arm 1 Design'!C13,'Equipment Wt &amp; Ht'!$A$4:$L$36,10,0),0),0.5*'Mast Arm 1 Design'!E13/12,0.5*'Mast Arm 1 Design'!I13/12)</f>
        <v>0</v>
      </c>
      <c r="H14" s="24">
        <f>G14</f>
        <v>0</v>
      </c>
      <c r="I14" s="24">
        <f>-G14</f>
        <v>0</v>
      </c>
      <c r="J14" s="24">
        <f>-G14</f>
        <v>0</v>
      </c>
      <c r="K14" s="24">
        <f>G14</f>
        <v>0</v>
      </c>
    </row>
    <row r="15" spans="2:11" ht="15" x14ac:dyDescent="0.25">
      <c r="B15" s="24">
        <f>'Mast Arm 1 Design'!$D$8</f>
        <v>0</v>
      </c>
      <c r="C15" s="24">
        <f>C11</f>
        <v>-0.5</v>
      </c>
      <c r="F15" s="23" t="s">
        <v>73</v>
      </c>
      <c r="G15" s="24">
        <f>MAX(IF(AND('Mast Arm 1 Design'!C14&lt;&gt;0,'Mast Arm 1 Design'!B14&lt;='Mast Arm 1 Design'!$D$8),0.5*VLOOKUP('Mast Arm 1 Design'!C14,'Equipment Wt &amp; Ht'!$A$4:$L$36,10,0),0),0.5*'Mast Arm 1 Design'!E14/12,0.5*'Mast Arm 1 Design'!I14/12)</f>
        <v>0</v>
      </c>
      <c r="H15" s="24">
        <f t="shared" ref="H15:H23" si="9">G15</f>
        <v>0</v>
      </c>
      <c r="I15" s="24">
        <f t="shared" ref="I15:I23" si="10">-G15</f>
        <v>0</v>
      </c>
      <c r="J15" s="24">
        <f t="shared" ref="J15:J23" si="11">-G15</f>
        <v>0</v>
      </c>
      <c r="K15" s="24">
        <f t="shared" ref="K15:K23" si="12">G15</f>
        <v>0</v>
      </c>
    </row>
    <row r="16" spans="2:11" ht="15" x14ac:dyDescent="0.25">
      <c r="F16" s="23" t="s">
        <v>72</v>
      </c>
      <c r="G16" s="24">
        <f>MAX(IF(AND('Mast Arm 1 Design'!C15&lt;&gt;0,'Mast Arm 1 Design'!B15&lt;='Mast Arm 1 Design'!$D$8),0.5*VLOOKUP('Mast Arm 1 Design'!C15,'Equipment Wt &amp; Ht'!$A$4:$L$36,10,0),0),0.5*'Mast Arm 1 Design'!E15/12,0.5*'Mast Arm 1 Design'!I15/12)</f>
        <v>0</v>
      </c>
      <c r="H16" s="24">
        <f t="shared" si="9"/>
        <v>0</v>
      </c>
      <c r="I16" s="24">
        <f t="shared" si="10"/>
        <v>0</v>
      </c>
      <c r="J16" s="24">
        <f t="shared" si="11"/>
        <v>0</v>
      </c>
      <c r="K16" s="24">
        <f t="shared" si="12"/>
        <v>0</v>
      </c>
    </row>
    <row r="17" spans="2:11" ht="15" x14ac:dyDescent="0.25">
      <c r="B17" s="11" t="s">
        <v>28</v>
      </c>
      <c r="F17" s="23" t="s">
        <v>71</v>
      </c>
      <c r="G17" s="24">
        <f>MAX(IF(AND('Mast Arm 1 Design'!C16&lt;&gt;0,'Mast Arm 1 Design'!B16&lt;='Mast Arm 1 Design'!$D$8),0.5*VLOOKUP('Mast Arm 1 Design'!C16,'Equipment Wt &amp; Ht'!$A$4:$L$36,10,0),0),0.5*'Mast Arm 1 Design'!E16/12,0.5*'Mast Arm 1 Design'!I16/12)</f>
        <v>0</v>
      </c>
      <c r="H17" s="24">
        <f t="shared" si="9"/>
        <v>0</v>
      </c>
      <c r="I17" s="24">
        <f t="shared" si="10"/>
        <v>0</v>
      </c>
      <c r="J17" s="24">
        <f t="shared" si="11"/>
        <v>0</v>
      </c>
      <c r="K17" s="24">
        <f t="shared" si="12"/>
        <v>0</v>
      </c>
    </row>
    <row r="18" spans="2:11" ht="15" x14ac:dyDescent="0.25">
      <c r="B18" s="23" t="s">
        <v>51</v>
      </c>
      <c r="C18" s="23" t="s">
        <v>52</v>
      </c>
      <c r="F18" s="23" t="s">
        <v>70</v>
      </c>
      <c r="G18" s="24">
        <f>MAX(IF(AND('Mast Arm 1 Design'!C17&lt;&gt;0,'Mast Arm 1 Design'!B17&lt;='Mast Arm 1 Design'!$D$8),0.5*VLOOKUP('Mast Arm 1 Design'!C17,'Equipment Wt &amp; Ht'!$A$4:$L$36,10,0),0),0.5*'Mast Arm 1 Design'!E17/12,0.5*'Mast Arm 1 Design'!I17/12)</f>
        <v>0</v>
      </c>
      <c r="H18" s="24">
        <f t="shared" si="9"/>
        <v>0</v>
      </c>
      <c r="I18" s="24">
        <f t="shared" si="10"/>
        <v>0</v>
      </c>
      <c r="J18" s="24">
        <f t="shared" si="11"/>
        <v>0</v>
      </c>
      <c r="K18" s="24">
        <f t="shared" si="12"/>
        <v>0</v>
      </c>
    </row>
    <row r="19" spans="2:11" ht="15" x14ac:dyDescent="0.25">
      <c r="B19" s="24">
        <f>'Mast Arm 2 Design'!$D$8</f>
        <v>0</v>
      </c>
      <c r="C19" s="24">
        <v>-0.5</v>
      </c>
      <c r="F19" s="23" t="s">
        <v>69</v>
      </c>
      <c r="G19" s="24">
        <f>MAX(IF(AND('Mast Arm 1 Design'!C18&lt;&gt;0,'Mast Arm 1 Design'!B18&lt;='Mast Arm 1 Design'!$D$8),0.5*VLOOKUP('Mast Arm 1 Design'!C18,'Equipment Wt &amp; Ht'!$A$4:$L$36,10,0),0),0.5*'Mast Arm 1 Design'!E18/12,0.5*'Mast Arm 1 Design'!I18/12)</f>
        <v>0</v>
      </c>
      <c r="H19" s="24">
        <f t="shared" si="9"/>
        <v>0</v>
      </c>
      <c r="I19" s="24">
        <f t="shared" si="10"/>
        <v>0</v>
      </c>
      <c r="J19" s="24">
        <f t="shared" si="11"/>
        <v>0</v>
      </c>
      <c r="K19" s="24">
        <f t="shared" si="12"/>
        <v>0</v>
      </c>
    </row>
    <row r="20" spans="2:11" ht="15" x14ac:dyDescent="0.25">
      <c r="B20" s="24">
        <v>0</v>
      </c>
      <c r="C20" s="24">
        <v>-0.5</v>
      </c>
      <c r="F20" s="23" t="s">
        <v>68</v>
      </c>
      <c r="G20" s="24">
        <f>MAX(IF(AND('Mast Arm 1 Design'!C19&lt;&gt;0,'Mast Arm 1 Design'!B19&lt;='Mast Arm 1 Design'!$D$8),0.5*VLOOKUP('Mast Arm 1 Design'!C19,'Equipment Wt &amp; Ht'!$A$4:$L$36,10,0),0),0.5*'Mast Arm 1 Design'!E19/12,0.5*'Mast Arm 1 Design'!I19/12)</f>
        <v>0</v>
      </c>
      <c r="H20" s="24">
        <f t="shared" si="9"/>
        <v>0</v>
      </c>
      <c r="I20" s="24">
        <f t="shared" si="10"/>
        <v>0</v>
      </c>
      <c r="J20" s="24">
        <f t="shared" si="11"/>
        <v>0</v>
      </c>
      <c r="K20" s="24">
        <f t="shared" si="12"/>
        <v>0</v>
      </c>
    </row>
    <row r="21" spans="2:11" ht="15" x14ac:dyDescent="0.25">
      <c r="B21" s="24">
        <v>0</v>
      </c>
      <c r="C21" s="24">
        <f>-C20</f>
        <v>0.5</v>
      </c>
      <c r="F21" s="23" t="s">
        <v>67</v>
      </c>
      <c r="G21" s="24">
        <f>MAX(IF(AND('Mast Arm 1 Design'!C20&lt;&gt;0,'Mast Arm 1 Design'!B20&lt;='Mast Arm 1 Design'!$D$8),0.5*VLOOKUP('Mast Arm 1 Design'!C20,'Equipment Wt &amp; Ht'!$A$4:$L$36,10,0),0),0.5*'Mast Arm 1 Design'!E20/12,0.5*'Mast Arm 1 Design'!I20/12)</f>
        <v>0</v>
      </c>
      <c r="H21" s="24">
        <f t="shared" si="9"/>
        <v>0</v>
      </c>
      <c r="I21" s="24">
        <f t="shared" si="10"/>
        <v>0</v>
      </c>
      <c r="J21" s="24">
        <f t="shared" si="11"/>
        <v>0</v>
      </c>
      <c r="K21" s="24">
        <f t="shared" si="12"/>
        <v>0</v>
      </c>
    </row>
    <row r="22" spans="2:11" ht="15" x14ac:dyDescent="0.25">
      <c r="B22" s="24">
        <f>'Mast Arm 2 Design'!$D$8</f>
        <v>0</v>
      </c>
      <c r="C22" s="24">
        <f>-C19</f>
        <v>0.5</v>
      </c>
      <c r="F22" s="23" t="s">
        <v>66</v>
      </c>
      <c r="G22" s="24">
        <f>MAX(IF(AND('Mast Arm 1 Design'!C21&lt;&gt;0,'Mast Arm 1 Design'!B21&lt;='Mast Arm 1 Design'!$D$8),0.5*VLOOKUP('Mast Arm 1 Design'!C21,'Equipment Wt &amp; Ht'!$A$4:$L$36,10,0),0),0.5*'Mast Arm 1 Design'!E21/12,0.5*'Mast Arm 1 Design'!I21/12)</f>
        <v>0</v>
      </c>
      <c r="H22" s="24">
        <f t="shared" si="9"/>
        <v>0</v>
      </c>
      <c r="I22" s="24">
        <f t="shared" si="10"/>
        <v>0</v>
      </c>
      <c r="J22" s="24">
        <f t="shared" si="11"/>
        <v>0</v>
      </c>
      <c r="K22" s="24">
        <f t="shared" si="12"/>
        <v>0</v>
      </c>
    </row>
    <row r="23" spans="2:11" ht="15" x14ac:dyDescent="0.25">
      <c r="B23" s="24">
        <f>'Mast Arm 2 Design'!$D$8</f>
        <v>0</v>
      </c>
      <c r="C23" s="24">
        <f>C19</f>
        <v>-0.5</v>
      </c>
      <c r="F23" s="23" t="s">
        <v>65</v>
      </c>
      <c r="G23" s="24">
        <f>MAX(IF(AND('Mast Arm 1 Design'!C22&lt;&gt;0,'Mast Arm 1 Design'!B22&lt;='Mast Arm 1 Design'!$D$8),0.5*VLOOKUP('Mast Arm 1 Design'!C22,'Equipment Wt &amp; Ht'!$A$4:$L$36,10,0),0),0.5*'Mast Arm 1 Design'!E22/12,0.5*'Mast Arm 1 Design'!I22/12)</f>
        <v>0</v>
      </c>
      <c r="H23" s="24">
        <f t="shared" si="9"/>
        <v>0</v>
      </c>
      <c r="I23" s="24">
        <f t="shared" si="10"/>
        <v>0</v>
      </c>
      <c r="J23" s="24">
        <f t="shared" si="11"/>
        <v>0</v>
      </c>
      <c r="K23" s="24">
        <f t="shared" si="12"/>
        <v>0</v>
      </c>
    </row>
    <row r="26" spans="2:11" x14ac:dyDescent="0.2">
      <c r="F26" t="s">
        <v>107</v>
      </c>
    </row>
    <row r="27" spans="2:11" ht="15" x14ac:dyDescent="0.25">
      <c r="F27" s="23" t="s">
        <v>64</v>
      </c>
      <c r="G27" s="25">
        <f>'Mast Arm 2 Design'!B13-MAX(IF(AND('Mast Arm 2 Design'!C13&lt;&gt;0,'Mast Arm 2 Design'!B13&lt;='Mast Arm 2 Design'!$D$8),0.5*VLOOKUP('Mast Arm 2 Design'!C13,'Equipment Wt &amp; Ht'!$A$4:$L$36,11,0),0),0.5*'Mast Arm 2 Design'!F13/12,0.5*'Mast Arm 2 Design'!J13/12)</f>
        <v>0</v>
      </c>
      <c r="H27" s="25">
        <f>'Mast Arm 2 Design'!B13+MAX(IF(AND('Mast Arm 2 Design'!C13&lt;&gt;0,'Mast Arm 2 Design'!B13&lt;='Mast Arm 2 Design'!$D$8),0.5*VLOOKUP('Mast Arm 2 Design'!C13,'Equipment Wt &amp; Ht'!$A$4:$L$36,11,0),0),0.5*'Mast Arm 2 Design'!F13/12,0.5*'Mast Arm 2 Design'!J13/12)</f>
        <v>0</v>
      </c>
      <c r="I27" s="25">
        <f>H27</f>
        <v>0</v>
      </c>
      <c r="J27" s="25">
        <f>G27</f>
        <v>0</v>
      </c>
      <c r="K27" s="25">
        <f>G27</f>
        <v>0</v>
      </c>
    </row>
    <row r="28" spans="2:11" ht="15" x14ac:dyDescent="0.25">
      <c r="F28" s="23" t="s">
        <v>63</v>
      </c>
      <c r="G28" s="25">
        <f>'Mast Arm 2 Design'!B14-MAX(IF(AND('Mast Arm 2 Design'!C14&lt;&gt;0,'Mast Arm 2 Design'!B14&lt;='Mast Arm 2 Design'!$D$8),0.5*VLOOKUP('Mast Arm 2 Design'!C14,'Equipment Wt &amp; Ht'!$A$4:$L$36,11,0),0),0.5*'Mast Arm 2 Design'!F14/12,0.5*'Mast Arm 2 Design'!J14/12)</f>
        <v>0</v>
      </c>
      <c r="H28" s="25">
        <f>'Mast Arm 2 Design'!B14+MAX(IF(AND('Mast Arm 2 Design'!C14&lt;&gt;0,'Mast Arm 2 Design'!B14&lt;='Mast Arm 2 Design'!$D$8),0.5*VLOOKUP('Mast Arm 2 Design'!C14,'Equipment Wt &amp; Ht'!$A$4:$L$36,11,0),0),0.5*'Mast Arm 2 Design'!F14/12,0.5*'Mast Arm 2 Design'!J14/12)</f>
        <v>0</v>
      </c>
      <c r="I28" s="25">
        <f t="shared" ref="I28:I36" si="13">H28</f>
        <v>0</v>
      </c>
      <c r="J28" s="25">
        <f t="shared" ref="J28:J36" si="14">G28</f>
        <v>0</v>
      </c>
      <c r="K28" s="25">
        <f t="shared" ref="K28:K36" si="15">G28</f>
        <v>0</v>
      </c>
    </row>
    <row r="29" spans="2:11" ht="15" x14ac:dyDescent="0.25">
      <c r="F29" s="23" t="s">
        <v>62</v>
      </c>
      <c r="G29" s="25">
        <f>'Mast Arm 2 Design'!B15-MAX(IF(AND('Mast Arm 2 Design'!C15&lt;&gt;0,'Mast Arm 2 Design'!B15&lt;='Mast Arm 2 Design'!$D$8),0.5*VLOOKUP('Mast Arm 2 Design'!C15,'Equipment Wt &amp; Ht'!$A$4:$L$36,11,0),0),0.5*'Mast Arm 2 Design'!F15/12,0.5*'Mast Arm 2 Design'!J15/12)</f>
        <v>0</v>
      </c>
      <c r="H29" s="25">
        <f>'Mast Arm 2 Design'!B15+MAX(IF(AND('Mast Arm 2 Design'!C15&lt;&gt;0,'Mast Arm 2 Design'!B15&lt;='Mast Arm 2 Design'!$D$8),0.5*VLOOKUP('Mast Arm 2 Design'!C15,'Equipment Wt &amp; Ht'!$A$4:$L$36,11,0),0),0.5*'Mast Arm 2 Design'!F15/12,0.5*'Mast Arm 2 Design'!J15/12)</f>
        <v>0</v>
      </c>
      <c r="I29" s="25">
        <f t="shared" si="13"/>
        <v>0</v>
      </c>
      <c r="J29" s="25">
        <f t="shared" si="14"/>
        <v>0</v>
      </c>
      <c r="K29" s="25">
        <f t="shared" si="15"/>
        <v>0</v>
      </c>
    </row>
    <row r="30" spans="2:11" ht="15" x14ac:dyDescent="0.25">
      <c r="F30" s="23" t="s">
        <v>61</v>
      </c>
      <c r="G30" s="25">
        <f>'Mast Arm 2 Design'!B16-MAX(IF(AND('Mast Arm 2 Design'!C16&lt;&gt;0,'Mast Arm 2 Design'!B16&lt;='Mast Arm 2 Design'!$D$8),0.5*VLOOKUP('Mast Arm 2 Design'!C16,'Equipment Wt &amp; Ht'!$A$4:$L$36,11,0),0),0.5*'Mast Arm 2 Design'!F16/12,0.5*'Mast Arm 2 Design'!J16/12)</f>
        <v>0</v>
      </c>
      <c r="H30" s="25">
        <f>'Mast Arm 2 Design'!B16+MAX(IF(AND('Mast Arm 2 Design'!C16&lt;&gt;0,'Mast Arm 2 Design'!B16&lt;='Mast Arm 2 Design'!$D$8),0.5*VLOOKUP('Mast Arm 2 Design'!C16,'Equipment Wt &amp; Ht'!$A$4:$L$36,11,0),0),0.5*'Mast Arm 2 Design'!F16/12,0.5*'Mast Arm 2 Design'!J16/12)</f>
        <v>0</v>
      </c>
      <c r="I30" s="25">
        <f t="shared" si="13"/>
        <v>0</v>
      </c>
      <c r="J30" s="25">
        <f t="shared" si="14"/>
        <v>0</v>
      </c>
      <c r="K30" s="25">
        <f t="shared" si="15"/>
        <v>0</v>
      </c>
    </row>
    <row r="31" spans="2:11" ht="15" x14ac:dyDescent="0.25">
      <c r="F31" s="23" t="s">
        <v>60</v>
      </c>
      <c r="G31" s="25">
        <f>'Mast Arm 2 Design'!B17-MAX(IF(AND('Mast Arm 2 Design'!C17&lt;&gt;0,'Mast Arm 2 Design'!B17&lt;='Mast Arm 2 Design'!$D$8),0.5*VLOOKUP('Mast Arm 2 Design'!C17,'Equipment Wt &amp; Ht'!$A$4:$L$36,11,0),0),0.5*'Mast Arm 2 Design'!F17/12,0.5*'Mast Arm 2 Design'!J17/12)</f>
        <v>0</v>
      </c>
      <c r="H31" s="25">
        <f>'Mast Arm 2 Design'!B17+MAX(IF(AND('Mast Arm 2 Design'!C17&lt;&gt;0,'Mast Arm 2 Design'!B17&lt;='Mast Arm 2 Design'!$D$8),0.5*VLOOKUP('Mast Arm 2 Design'!C17,'Equipment Wt &amp; Ht'!$A$4:$L$36,11,0),0),0.5*'Mast Arm 2 Design'!F17/12,0.5*'Mast Arm 2 Design'!J17/12)</f>
        <v>0</v>
      </c>
      <c r="I31" s="25">
        <f t="shared" si="13"/>
        <v>0</v>
      </c>
      <c r="J31" s="25">
        <f t="shared" si="14"/>
        <v>0</v>
      </c>
      <c r="K31" s="25">
        <f t="shared" si="15"/>
        <v>0</v>
      </c>
    </row>
    <row r="32" spans="2:11" ht="15" x14ac:dyDescent="0.25">
      <c r="F32" s="23" t="s">
        <v>59</v>
      </c>
      <c r="G32" s="25">
        <f>'Mast Arm 2 Design'!B18-MAX(IF(AND('Mast Arm 2 Design'!C18&lt;&gt;0,'Mast Arm 2 Design'!B18&lt;='Mast Arm 2 Design'!$D$8),0.5*VLOOKUP('Mast Arm 2 Design'!C18,'Equipment Wt &amp; Ht'!$A$4:$L$36,11,0),0),0.5*'Mast Arm 2 Design'!F18/12,0.5*'Mast Arm 2 Design'!J18/12)</f>
        <v>0</v>
      </c>
      <c r="H32" s="25">
        <f>'Mast Arm 2 Design'!B18+MAX(IF(AND('Mast Arm 2 Design'!C18&lt;&gt;0,'Mast Arm 2 Design'!B18&lt;='Mast Arm 2 Design'!$D$8),0.5*VLOOKUP('Mast Arm 2 Design'!C18,'Equipment Wt &amp; Ht'!$A$4:$L$36,11,0),0),0.5*'Mast Arm 2 Design'!F18/12,0.5*'Mast Arm 2 Design'!J18/12)</f>
        <v>0</v>
      </c>
      <c r="I32" s="25">
        <f t="shared" si="13"/>
        <v>0</v>
      </c>
      <c r="J32" s="25">
        <f t="shared" si="14"/>
        <v>0</v>
      </c>
      <c r="K32" s="25">
        <f t="shared" si="15"/>
        <v>0</v>
      </c>
    </row>
    <row r="33" spans="6:11" ht="15" x14ac:dyDescent="0.25">
      <c r="F33" s="23" t="s">
        <v>58</v>
      </c>
      <c r="G33" s="25">
        <f>'Mast Arm 2 Design'!B19-MAX(IF(AND('Mast Arm 2 Design'!C19&lt;&gt;0,'Mast Arm 2 Design'!B19&lt;='Mast Arm 2 Design'!$D$8),0.5*VLOOKUP('Mast Arm 2 Design'!C19,'Equipment Wt &amp; Ht'!$A$4:$L$36,11,0),0),0.5*'Mast Arm 2 Design'!F19/12,0.5*'Mast Arm 2 Design'!J19/12)</f>
        <v>0</v>
      </c>
      <c r="H33" s="25">
        <f>'Mast Arm 2 Design'!B19+MAX(IF(AND('Mast Arm 2 Design'!C19&lt;&gt;0,'Mast Arm 2 Design'!B19&lt;='Mast Arm 2 Design'!$D$8),0.5*VLOOKUP('Mast Arm 2 Design'!C19,'Equipment Wt &amp; Ht'!$A$4:$L$36,11,0),0),0.5*'Mast Arm 2 Design'!F19/12,0.5*'Mast Arm 2 Design'!J19/12)</f>
        <v>0</v>
      </c>
      <c r="I33" s="25">
        <f t="shared" si="13"/>
        <v>0</v>
      </c>
      <c r="J33" s="25">
        <f t="shared" si="14"/>
        <v>0</v>
      </c>
      <c r="K33" s="25">
        <f t="shared" si="15"/>
        <v>0</v>
      </c>
    </row>
    <row r="34" spans="6:11" ht="15" x14ac:dyDescent="0.25">
      <c r="F34" s="23" t="s">
        <v>57</v>
      </c>
      <c r="G34" s="25">
        <f>'Mast Arm 2 Design'!B20-MAX(IF(AND('Mast Arm 2 Design'!C20&lt;&gt;0,'Mast Arm 2 Design'!B20&lt;='Mast Arm 2 Design'!$D$8),0.5*VLOOKUP('Mast Arm 2 Design'!C20,'Equipment Wt &amp; Ht'!$A$4:$L$36,11,0),0),0.5*'Mast Arm 2 Design'!F20/12,0.5*'Mast Arm 2 Design'!J20/12)</f>
        <v>0</v>
      </c>
      <c r="H34" s="25">
        <f>'Mast Arm 2 Design'!B20+MAX(IF(AND('Mast Arm 2 Design'!C20&lt;&gt;0,'Mast Arm 2 Design'!B20&lt;='Mast Arm 2 Design'!$D$8),0.5*VLOOKUP('Mast Arm 2 Design'!C20,'Equipment Wt &amp; Ht'!$A$4:$L$36,11,0),0),0.5*'Mast Arm 2 Design'!F20/12,0.5*'Mast Arm 2 Design'!J20/12)</f>
        <v>0</v>
      </c>
      <c r="I34" s="25">
        <f t="shared" si="13"/>
        <v>0</v>
      </c>
      <c r="J34" s="25">
        <f t="shared" si="14"/>
        <v>0</v>
      </c>
      <c r="K34" s="25">
        <f t="shared" si="15"/>
        <v>0</v>
      </c>
    </row>
    <row r="35" spans="6:11" ht="15" x14ac:dyDescent="0.25">
      <c r="F35" s="23" t="s">
        <v>56</v>
      </c>
      <c r="G35" s="25">
        <f>'Mast Arm 2 Design'!B21-MAX(IF(AND('Mast Arm 2 Design'!C21&lt;&gt;0,'Mast Arm 2 Design'!B21&lt;='Mast Arm 2 Design'!$D$8),0.5*VLOOKUP('Mast Arm 2 Design'!C21,'Equipment Wt &amp; Ht'!$A$4:$L$36,11,0),0),0.5*'Mast Arm 2 Design'!F21/12,0.5*'Mast Arm 2 Design'!J21/12)</f>
        <v>0</v>
      </c>
      <c r="H35" s="25">
        <f>'Mast Arm 2 Design'!B21+MAX(IF(AND('Mast Arm 2 Design'!C21&lt;&gt;0,'Mast Arm 2 Design'!B21&lt;='Mast Arm 2 Design'!$D$8),0.5*VLOOKUP('Mast Arm 2 Design'!C21,'Equipment Wt &amp; Ht'!$A$4:$L$36,11,0),0),0.5*'Mast Arm 2 Design'!F21/12,0.5*'Mast Arm 2 Design'!J21/12)</f>
        <v>0</v>
      </c>
      <c r="I35" s="25">
        <f t="shared" si="13"/>
        <v>0</v>
      </c>
      <c r="J35" s="25">
        <f t="shared" si="14"/>
        <v>0</v>
      </c>
      <c r="K35" s="25">
        <f t="shared" si="15"/>
        <v>0</v>
      </c>
    </row>
    <row r="36" spans="6:11" ht="15" x14ac:dyDescent="0.25">
      <c r="F36" s="23" t="s">
        <v>55</v>
      </c>
      <c r="G36" s="25">
        <f>'Mast Arm 2 Design'!B22-MAX(IF(AND('Mast Arm 2 Design'!C22&lt;&gt;0,'Mast Arm 2 Design'!B22&lt;='Mast Arm 2 Design'!$D$8),0.5*VLOOKUP('Mast Arm 2 Design'!C22,'Equipment Wt &amp; Ht'!$A$4:$L$36,11,0),0),0.5*'Mast Arm 2 Design'!F22/12,0.5*'Mast Arm 2 Design'!J22/12)</f>
        <v>0</v>
      </c>
      <c r="H36" s="25">
        <f>'Mast Arm 2 Design'!B22+MAX(IF(AND('Mast Arm 2 Design'!C22&lt;&gt;0,'Mast Arm 2 Design'!B22&lt;='Mast Arm 2 Design'!$D$8),0.5*VLOOKUP('Mast Arm 2 Design'!C22,'Equipment Wt &amp; Ht'!$A$4:$L$36,11,0),0),0.5*'Mast Arm 2 Design'!F22/12,0.5*'Mast Arm 2 Design'!J22/12)</f>
        <v>0</v>
      </c>
      <c r="I36" s="25">
        <f t="shared" si="13"/>
        <v>0</v>
      </c>
      <c r="J36" s="25">
        <f t="shared" si="14"/>
        <v>0</v>
      </c>
      <c r="K36" s="25">
        <f t="shared" si="15"/>
        <v>0</v>
      </c>
    </row>
    <row r="38" spans="6:11" ht="15" x14ac:dyDescent="0.25">
      <c r="F38" s="23" t="s">
        <v>74</v>
      </c>
      <c r="G38" s="24">
        <f>MAX(IF(AND('Mast Arm 2 Design'!C13&lt;&gt;0,'Mast Arm 2 Design'!B13&lt;='Mast Arm 2 Design'!$D$8),0.5*VLOOKUP('Mast Arm 2 Design'!C13,'Equipment Wt &amp; Ht'!$A$4:$L$36,10,0),0),0.5*'Mast Arm 2 Design'!E13/12,0.5*'Mast Arm 2 Design'!I13/12)</f>
        <v>0</v>
      </c>
      <c r="H38" s="24">
        <f>G38</f>
        <v>0</v>
      </c>
      <c r="I38" s="24">
        <f>-G38</f>
        <v>0</v>
      </c>
      <c r="J38" s="24">
        <f>-G38</f>
        <v>0</v>
      </c>
      <c r="K38" s="24">
        <f>G38</f>
        <v>0</v>
      </c>
    </row>
    <row r="39" spans="6:11" ht="15" x14ac:dyDescent="0.25">
      <c r="F39" s="23" t="s">
        <v>73</v>
      </c>
      <c r="G39" s="24">
        <f>MAX(IF(AND('Mast Arm 2 Design'!C14&lt;&gt;0,'Mast Arm 2 Design'!B14&lt;='Mast Arm 2 Design'!$D$8),0.5*VLOOKUP('Mast Arm 2 Design'!C14,'Equipment Wt &amp; Ht'!$A$4:$L$36,10,0),0),0.5*'Mast Arm 2 Design'!E14/12,0.5*'Mast Arm 2 Design'!I14/12)</f>
        <v>0</v>
      </c>
      <c r="H39" s="24">
        <f t="shared" ref="H39:H47" si="16">G39</f>
        <v>0</v>
      </c>
      <c r="I39" s="24">
        <f t="shared" ref="I39:I47" si="17">-G39</f>
        <v>0</v>
      </c>
      <c r="J39" s="24">
        <f t="shared" ref="J39:J47" si="18">-G39</f>
        <v>0</v>
      </c>
      <c r="K39" s="24">
        <f t="shared" ref="K39:K47" si="19">G39</f>
        <v>0</v>
      </c>
    </row>
    <row r="40" spans="6:11" ht="15" x14ac:dyDescent="0.25">
      <c r="F40" s="23" t="s">
        <v>72</v>
      </c>
      <c r="G40" s="24">
        <f>MAX(IF(AND('Mast Arm 2 Design'!C15&lt;&gt;0,'Mast Arm 2 Design'!B15&lt;='Mast Arm 2 Design'!$D$8),0.5*VLOOKUP('Mast Arm 2 Design'!C15,'Equipment Wt &amp; Ht'!$A$4:$L$36,10,0),0),0.5*'Mast Arm 2 Design'!E15/12,0.5*'Mast Arm 2 Design'!I15/12)</f>
        <v>0</v>
      </c>
      <c r="H40" s="24">
        <f t="shared" si="16"/>
        <v>0</v>
      </c>
      <c r="I40" s="24">
        <f t="shared" si="17"/>
        <v>0</v>
      </c>
      <c r="J40" s="24">
        <f t="shared" si="18"/>
        <v>0</v>
      </c>
      <c r="K40" s="24">
        <f t="shared" si="19"/>
        <v>0</v>
      </c>
    </row>
    <row r="41" spans="6:11" ht="15" x14ac:dyDescent="0.25">
      <c r="F41" s="23" t="s">
        <v>71</v>
      </c>
      <c r="G41" s="24">
        <f>MAX(IF(AND('Mast Arm 2 Design'!C16&lt;&gt;0,'Mast Arm 2 Design'!B16&lt;='Mast Arm 2 Design'!$D$8),0.5*VLOOKUP('Mast Arm 2 Design'!C16,'Equipment Wt &amp; Ht'!$A$4:$L$36,10,0),0),0.5*'Mast Arm 2 Design'!E16/12,0.5*'Mast Arm 2 Design'!I16/12)</f>
        <v>0</v>
      </c>
      <c r="H41" s="24">
        <f t="shared" si="16"/>
        <v>0</v>
      </c>
      <c r="I41" s="24">
        <f t="shared" si="17"/>
        <v>0</v>
      </c>
      <c r="J41" s="24">
        <f t="shared" si="18"/>
        <v>0</v>
      </c>
      <c r="K41" s="24">
        <f t="shared" si="19"/>
        <v>0</v>
      </c>
    </row>
    <row r="42" spans="6:11" ht="15" x14ac:dyDescent="0.25">
      <c r="F42" s="23" t="s">
        <v>70</v>
      </c>
      <c r="G42" s="24">
        <f>MAX(IF(AND('Mast Arm 2 Design'!C17&lt;&gt;0,'Mast Arm 2 Design'!B17&lt;='Mast Arm 2 Design'!$D$8),0.5*VLOOKUP('Mast Arm 2 Design'!C17,'Equipment Wt &amp; Ht'!$A$4:$L$36,10,0),0),0.5*'Mast Arm 2 Design'!E17/12,0.5*'Mast Arm 2 Design'!I17/12)</f>
        <v>0</v>
      </c>
      <c r="H42" s="24">
        <f t="shared" si="16"/>
        <v>0</v>
      </c>
      <c r="I42" s="24">
        <f t="shared" si="17"/>
        <v>0</v>
      </c>
      <c r="J42" s="24">
        <f t="shared" si="18"/>
        <v>0</v>
      </c>
      <c r="K42" s="24">
        <f t="shared" si="19"/>
        <v>0</v>
      </c>
    </row>
    <row r="43" spans="6:11" ht="15" x14ac:dyDescent="0.25">
      <c r="F43" s="23" t="s">
        <v>69</v>
      </c>
      <c r="G43" s="24">
        <f>MAX(IF(AND('Mast Arm 2 Design'!C18&lt;&gt;0,'Mast Arm 2 Design'!B18&lt;='Mast Arm 2 Design'!$D$8),0.5*VLOOKUP('Mast Arm 2 Design'!C18,'Equipment Wt &amp; Ht'!$A$4:$L$36,10,0),0),0.5*'Mast Arm 2 Design'!E18/12,0.5*'Mast Arm 2 Design'!I18/12)</f>
        <v>0</v>
      </c>
      <c r="H43" s="24">
        <f t="shared" si="16"/>
        <v>0</v>
      </c>
      <c r="I43" s="24">
        <f t="shared" si="17"/>
        <v>0</v>
      </c>
      <c r="J43" s="24">
        <f t="shared" si="18"/>
        <v>0</v>
      </c>
      <c r="K43" s="24">
        <f t="shared" si="19"/>
        <v>0</v>
      </c>
    </row>
    <row r="44" spans="6:11" ht="15" x14ac:dyDescent="0.25">
      <c r="F44" s="23" t="s">
        <v>68</v>
      </c>
      <c r="G44" s="24">
        <f>MAX(IF(AND('Mast Arm 2 Design'!C19&lt;&gt;0,'Mast Arm 2 Design'!B19&lt;='Mast Arm 2 Design'!$D$8),0.5*VLOOKUP('Mast Arm 2 Design'!C19,'Equipment Wt &amp; Ht'!$A$4:$L$36,10,0),0),0.5*'Mast Arm 2 Design'!E19/12,0.5*'Mast Arm 2 Design'!I19/12)</f>
        <v>0</v>
      </c>
      <c r="H44" s="24">
        <f t="shared" si="16"/>
        <v>0</v>
      </c>
      <c r="I44" s="24">
        <f t="shared" si="17"/>
        <v>0</v>
      </c>
      <c r="J44" s="24">
        <f t="shared" si="18"/>
        <v>0</v>
      </c>
      <c r="K44" s="24">
        <f t="shared" si="19"/>
        <v>0</v>
      </c>
    </row>
    <row r="45" spans="6:11" ht="15" x14ac:dyDescent="0.25">
      <c r="F45" s="23" t="s">
        <v>67</v>
      </c>
      <c r="G45" s="24">
        <f>MAX(IF(AND('Mast Arm 2 Design'!C20&lt;&gt;0,'Mast Arm 2 Design'!B20&lt;='Mast Arm 2 Design'!$D$8),0.5*VLOOKUP('Mast Arm 2 Design'!C20,'Equipment Wt &amp; Ht'!$A$4:$L$36,10,0),0),0.5*'Mast Arm 2 Design'!E20/12,0.5*'Mast Arm 2 Design'!I20/12)</f>
        <v>0</v>
      </c>
      <c r="H45" s="24">
        <f t="shared" si="16"/>
        <v>0</v>
      </c>
      <c r="I45" s="24">
        <f t="shared" si="17"/>
        <v>0</v>
      </c>
      <c r="J45" s="24">
        <f t="shared" si="18"/>
        <v>0</v>
      </c>
      <c r="K45" s="24">
        <f t="shared" si="19"/>
        <v>0</v>
      </c>
    </row>
    <row r="46" spans="6:11" ht="15" x14ac:dyDescent="0.25">
      <c r="F46" s="23" t="s">
        <v>66</v>
      </c>
      <c r="G46" s="24">
        <f>MAX(IF(AND('Mast Arm 2 Design'!C21&lt;&gt;0,'Mast Arm 2 Design'!B21&lt;='Mast Arm 2 Design'!$D$8),0.5*VLOOKUP('Mast Arm 2 Design'!C21,'Equipment Wt &amp; Ht'!$A$4:$L$36,10,0),0),0.5*'Mast Arm 2 Design'!E21/12,0.5*'Mast Arm 2 Design'!I21/12)</f>
        <v>0</v>
      </c>
      <c r="H46" s="24">
        <f t="shared" si="16"/>
        <v>0</v>
      </c>
      <c r="I46" s="24">
        <f t="shared" si="17"/>
        <v>0</v>
      </c>
      <c r="J46" s="24">
        <f t="shared" si="18"/>
        <v>0</v>
      </c>
      <c r="K46" s="24">
        <f t="shared" si="19"/>
        <v>0</v>
      </c>
    </row>
    <row r="47" spans="6:11" ht="15" x14ac:dyDescent="0.25">
      <c r="F47" s="23" t="s">
        <v>65</v>
      </c>
      <c r="G47" s="24">
        <f>MAX(IF(AND('Mast Arm 2 Design'!C22&lt;&gt;0,'Mast Arm 2 Design'!B22&lt;='Mast Arm 2 Design'!$D$8),0.5*VLOOKUP('Mast Arm 2 Design'!C22,'Equipment Wt &amp; Ht'!$A$4:$L$36,10,0),0),0.5*'Mast Arm 2 Design'!E22/12,0.5*'Mast Arm 2 Design'!I22/12)</f>
        <v>0</v>
      </c>
      <c r="H47" s="24">
        <f t="shared" si="16"/>
        <v>0</v>
      </c>
      <c r="I47" s="24">
        <f t="shared" si="17"/>
        <v>0</v>
      </c>
      <c r="J47" s="24">
        <f t="shared" si="18"/>
        <v>0</v>
      </c>
      <c r="K47" s="24">
        <f t="shared" si="19"/>
        <v>0</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tabColor theme="1"/>
    <pageSetUpPr fitToPage="1"/>
  </sheetPr>
  <dimension ref="A1:N50"/>
  <sheetViews>
    <sheetView topLeftCell="B1" zoomScale="130" zoomScaleNormal="130" workbookViewId="0">
      <pane ySplit="2" topLeftCell="A15" activePane="bottomLeft" state="frozen"/>
      <selection activeCell="J19" sqref="J19"/>
      <selection pane="bottomLeft" activeCell="J19" sqref="J19"/>
    </sheetView>
  </sheetViews>
  <sheetFormatPr defaultRowHeight="12.75" x14ac:dyDescent="0.2"/>
  <cols>
    <col min="1" max="1" width="20.42578125" customWidth="1"/>
    <col min="2" max="2" width="11.140625" customWidth="1"/>
    <col min="3" max="3" width="15.85546875" customWidth="1"/>
    <col min="4" max="4" width="30.140625" customWidth="1"/>
    <col min="6" max="6" width="9.28515625" customWidth="1"/>
    <col min="8" max="8" width="7.5703125" customWidth="1"/>
    <col min="10" max="10" width="9.140625" style="12" customWidth="1"/>
    <col min="11" max="12" width="7.5703125" customWidth="1"/>
  </cols>
  <sheetData>
    <row r="1" spans="1:14" s="6" customFormat="1" ht="12.75" customHeight="1" x14ac:dyDescent="0.2">
      <c r="A1" s="315" t="s">
        <v>8</v>
      </c>
      <c r="B1" s="315" t="s">
        <v>9</v>
      </c>
      <c r="C1" s="315" t="s">
        <v>10</v>
      </c>
      <c r="D1" s="315" t="s">
        <v>8</v>
      </c>
      <c r="E1" s="314" t="s">
        <v>11</v>
      </c>
      <c r="F1" s="314" t="s">
        <v>170</v>
      </c>
      <c r="G1" s="314" t="s">
        <v>286</v>
      </c>
      <c r="H1" s="314" t="s">
        <v>171</v>
      </c>
      <c r="I1" s="315" t="s">
        <v>12</v>
      </c>
      <c r="J1" s="315"/>
      <c r="K1" s="314" t="s">
        <v>154</v>
      </c>
      <c r="L1" s="314" t="s">
        <v>172</v>
      </c>
      <c r="N1" s="13"/>
    </row>
    <row r="2" spans="1:14" s="6" customFormat="1" ht="26.25" customHeight="1" x14ac:dyDescent="0.2">
      <c r="A2" s="315"/>
      <c r="B2" s="315"/>
      <c r="C2" s="315"/>
      <c r="D2" s="315"/>
      <c r="E2" s="315"/>
      <c r="F2" s="314"/>
      <c r="G2" s="314"/>
      <c r="H2" s="314"/>
      <c r="I2" s="102" t="s">
        <v>13</v>
      </c>
      <c r="J2" s="103" t="s">
        <v>14</v>
      </c>
      <c r="K2" s="314"/>
      <c r="L2" s="314"/>
      <c r="N2" s="13"/>
    </row>
    <row r="3" spans="1:14" ht="12.75" customHeight="1" x14ac:dyDescent="0.2">
      <c r="A3" s="30"/>
      <c r="B3" s="30"/>
      <c r="C3" s="30"/>
      <c r="D3" s="30"/>
      <c r="E3" s="30"/>
      <c r="F3" s="104"/>
      <c r="G3" s="30"/>
      <c r="H3" s="30"/>
      <c r="I3" s="30"/>
      <c r="J3" s="105"/>
      <c r="K3" s="30"/>
      <c r="L3" s="30"/>
    </row>
    <row r="4" spans="1:14" ht="12.75" customHeight="1" x14ac:dyDescent="0.2">
      <c r="A4" s="30" t="s">
        <v>241</v>
      </c>
      <c r="B4" s="30"/>
      <c r="C4" s="30"/>
      <c r="D4" s="30"/>
      <c r="E4" s="31">
        <v>17</v>
      </c>
      <c r="F4" s="97">
        <v>1.36</v>
      </c>
      <c r="G4" s="97">
        <v>1.49</v>
      </c>
      <c r="H4" s="97">
        <v>1.53</v>
      </c>
      <c r="I4" s="106">
        <v>14</v>
      </c>
      <c r="J4" s="97">
        <f>I4/12</f>
        <v>1.1666666666666667</v>
      </c>
      <c r="K4" s="97">
        <f>F4/J4</f>
        <v>1.1657142857142857</v>
      </c>
      <c r="L4" s="97">
        <f>H4/J4</f>
        <v>1.3114285714285714</v>
      </c>
    </row>
    <row r="5" spans="1:14" ht="12.75" customHeight="1" x14ac:dyDescent="0.2">
      <c r="A5" s="30" t="s">
        <v>253</v>
      </c>
      <c r="B5" s="30"/>
      <c r="C5" s="30"/>
      <c r="D5" s="30"/>
      <c r="E5" s="31">
        <v>21</v>
      </c>
      <c r="F5" s="97">
        <v>4</v>
      </c>
      <c r="G5" s="97">
        <v>1.59</v>
      </c>
      <c r="H5" s="97">
        <v>1.53</v>
      </c>
      <c r="I5" s="106">
        <v>24</v>
      </c>
      <c r="J5" s="97">
        <f t="shared" ref="J5:J22" si="0">I5/12</f>
        <v>2</v>
      </c>
      <c r="K5" s="97">
        <f>F5/J5</f>
        <v>2</v>
      </c>
      <c r="L5" s="97">
        <f t="shared" ref="L5:L7" si="1">H5/J5</f>
        <v>0.76500000000000001</v>
      </c>
    </row>
    <row r="6" spans="1:14" ht="12.75" customHeight="1" x14ac:dyDescent="0.2">
      <c r="A6" s="30" t="s">
        <v>242</v>
      </c>
      <c r="B6" s="30"/>
      <c r="C6" s="30"/>
      <c r="D6" s="30"/>
      <c r="E6" s="31">
        <v>49</v>
      </c>
      <c r="F6" s="97">
        <v>3.61</v>
      </c>
      <c r="G6" s="97">
        <v>2.15</v>
      </c>
      <c r="H6" s="97">
        <v>2.25</v>
      </c>
      <c r="I6" s="106">
        <f>I4+12</f>
        <v>26</v>
      </c>
      <c r="J6" s="97">
        <f t="shared" si="0"/>
        <v>2.1666666666666665</v>
      </c>
      <c r="K6" s="97">
        <f t="shared" ref="K6:K7" si="2">F6/J6</f>
        <v>1.6661538461538463</v>
      </c>
      <c r="L6" s="97">
        <f t="shared" si="1"/>
        <v>1.0384615384615385</v>
      </c>
    </row>
    <row r="7" spans="1:14" ht="12.75" customHeight="1" x14ac:dyDescent="0.2">
      <c r="A7" s="30" t="s">
        <v>254</v>
      </c>
      <c r="B7" s="30"/>
      <c r="C7" s="30"/>
      <c r="D7" s="30"/>
      <c r="E7" s="31">
        <v>53</v>
      </c>
      <c r="F7" s="97">
        <v>6.25</v>
      </c>
      <c r="G7" s="97">
        <v>2.2599999999999998</v>
      </c>
      <c r="H7" s="97">
        <v>2.25</v>
      </c>
      <c r="I7" s="106">
        <f>I5+12</f>
        <v>36</v>
      </c>
      <c r="J7" s="97">
        <f t="shared" si="0"/>
        <v>3</v>
      </c>
      <c r="K7" s="97">
        <f t="shared" si="2"/>
        <v>2.0833333333333335</v>
      </c>
      <c r="L7" s="97">
        <f t="shared" si="1"/>
        <v>0.75</v>
      </c>
    </row>
    <row r="8" spans="1:14" ht="12.75" customHeight="1" x14ac:dyDescent="0.2">
      <c r="A8" s="30" t="s">
        <v>243</v>
      </c>
      <c r="B8" s="30"/>
      <c r="C8" s="30"/>
      <c r="D8" s="30"/>
      <c r="E8" s="31">
        <v>27</v>
      </c>
      <c r="F8" s="97">
        <v>2.72</v>
      </c>
      <c r="G8" s="97">
        <v>3.97</v>
      </c>
      <c r="H8" s="97">
        <v>1.53</v>
      </c>
      <c r="I8" s="106">
        <v>28</v>
      </c>
      <c r="J8" s="97">
        <f t="shared" si="0"/>
        <v>2.3333333333333335</v>
      </c>
      <c r="K8" s="97">
        <f t="shared" ref="K8:K17" si="3">F8/J8</f>
        <v>1.1657142857142857</v>
      </c>
      <c r="L8" s="97">
        <f>H8/J8</f>
        <v>0.65571428571428569</v>
      </c>
    </row>
    <row r="9" spans="1:14" ht="12.75" customHeight="1" x14ac:dyDescent="0.2">
      <c r="A9" s="30" t="s">
        <v>255</v>
      </c>
      <c r="B9" s="30"/>
      <c r="C9" s="30"/>
      <c r="D9" s="30"/>
      <c r="E9" s="31">
        <v>32</v>
      </c>
      <c r="F9" s="97">
        <v>6.33</v>
      </c>
      <c r="G9" s="97">
        <v>4.1399999999999997</v>
      </c>
      <c r="H9" s="97">
        <v>1.53</v>
      </c>
      <c r="I9" s="106">
        <v>38</v>
      </c>
      <c r="J9" s="97">
        <f t="shared" si="0"/>
        <v>3.1666666666666665</v>
      </c>
      <c r="K9" s="97">
        <f t="shared" si="3"/>
        <v>1.9989473684210528</v>
      </c>
      <c r="L9" s="97">
        <f t="shared" ref="L9:L17" si="4">H9/J9</f>
        <v>0.48315789473684212</v>
      </c>
    </row>
    <row r="10" spans="1:14" ht="12.75" customHeight="1" x14ac:dyDescent="0.2">
      <c r="A10" s="30" t="s">
        <v>266</v>
      </c>
      <c r="B10" s="30"/>
      <c r="C10" s="30"/>
      <c r="D10" s="30"/>
      <c r="E10" s="31">
        <v>59</v>
      </c>
      <c r="F10" s="97">
        <v>4.97</v>
      </c>
      <c r="G10" s="97">
        <v>4.6399999999999997</v>
      </c>
      <c r="H10" s="97">
        <v>2.25</v>
      </c>
      <c r="I10" s="106">
        <f>I8+12</f>
        <v>40</v>
      </c>
      <c r="J10" s="97">
        <f t="shared" si="0"/>
        <v>3.3333333333333335</v>
      </c>
      <c r="K10" s="97">
        <f t="shared" si="3"/>
        <v>1.4909999999999999</v>
      </c>
      <c r="L10" s="97">
        <f t="shared" si="4"/>
        <v>0.67499999999999993</v>
      </c>
    </row>
    <row r="11" spans="1:14" ht="12.75" customHeight="1" x14ac:dyDescent="0.2">
      <c r="A11" s="30" t="s">
        <v>256</v>
      </c>
      <c r="B11" s="30"/>
      <c r="C11" s="30"/>
      <c r="D11" s="30"/>
      <c r="E11" s="31">
        <v>64</v>
      </c>
      <c r="F11" s="97">
        <v>8.58</v>
      </c>
      <c r="G11" s="97">
        <v>4.8</v>
      </c>
      <c r="H11" s="97">
        <v>2.25</v>
      </c>
      <c r="I11" s="106">
        <f>I9+12</f>
        <v>50</v>
      </c>
      <c r="J11" s="97">
        <f t="shared" si="0"/>
        <v>4.166666666666667</v>
      </c>
      <c r="K11" s="97">
        <f t="shared" si="3"/>
        <v>2.0591999999999997</v>
      </c>
      <c r="L11" s="97">
        <f t="shared" si="4"/>
        <v>0.53999999999999992</v>
      </c>
    </row>
    <row r="12" spans="1:14" ht="12.75" customHeight="1" x14ac:dyDescent="0.2">
      <c r="A12" s="30" t="s">
        <v>244</v>
      </c>
      <c r="B12" s="30"/>
      <c r="C12" s="30"/>
      <c r="D12" s="30"/>
      <c r="E12" s="31">
        <v>37</v>
      </c>
      <c r="F12" s="97">
        <v>4.08</v>
      </c>
      <c r="G12" s="97">
        <v>4.46</v>
      </c>
      <c r="H12" s="97">
        <v>1.53</v>
      </c>
      <c r="I12" s="106">
        <v>42</v>
      </c>
      <c r="J12" s="97">
        <f t="shared" si="0"/>
        <v>3.5</v>
      </c>
      <c r="K12" s="97">
        <f t="shared" si="3"/>
        <v>1.1657142857142857</v>
      </c>
      <c r="L12" s="97">
        <f t="shared" si="4"/>
        <v>0.43714285714285717</v>
      </c>
    </row>
    <row r="13" spans="1:14" ht="12.75" customHeight="1" x14ac:dyDescent="0.2">
      <c r="A13" s="30" t="s">
        <v>257</v>
      </c>
      <c r="B13" s="30"/>
      <c r="C13" s="30"/>
      <c r="D13" s="30"/>
      <c r="E13" s="31">
        <v>43</v>
      </c>
      <c r="F13" s="97">
        <v>8.67</v>
      </c>
      <c r="G13" s="97">
        <v>4.68</v>
      </c>
      <c r="H13" s="97">
        <v>1.53</v>
      </c>
      <c r="I13" s="106">
        <v>52</v>
      </c>
      <c r="J13" s="97">
        <f t="shared" si="0"/>
        <v>4.333333333333333</v>
      </c>
      <c r="K13" s="97">
        <f t="shared" si="3"/>
        <v>2.0007692307692309</v>
      </c>
      <c r="L13" s="97">
        <f t="shared" si="4"/>
        <v>0.35307692307692312</v>
      </c>
    </row>
    <row r="14" spans="1:14" ht="12.75" customHeight="1" x14ac:dyDescent="0.2">
      <c r="A14" s="30" t="s">
        <v>258</v>
      </c>
      <c r="B14" s="30"/>
      <c r="C14" s="30"/>
      <c r="D14" s="30"/>
      <c r="E14" s="31">
        <v>69</v>
      </c>
      <c r="F14" s="97">
        <v>6.33</v>
      </c>
      <c r="G14" s="97">
        <v>5.125</v>
      </c>
      <c r="H14" s="97">
        <v>2.25</v>
      </c>
      <c r="I14" s="106">
        <f>I12+12</f>
        <v>54</v>
      </c>
      <c r="J14" s="97">
        <f t="shared" si="0"/>
        <v>4.5</v>
      </c>
      <c r="K14" s="97">
        <f t="shared" si="3"/>
        <v>1.4066666666666667</v>
      </c>
      <c r="L14" s="97">
        <f t="shared" si="4"/>
        <v>0.5</v>
      </c>
    </row>
    <row r="15" spans="1:14" ht="12.75" customHeight="1" x14ac:dyDescent="0.2">
      <c r="A15" s="30" t="s">
        <v>259</v>
      </c>
      <c r="B15" s="30"/>
      <c r="C15" s="30"/>
      <c r="D15" s="30"/>
      <c r="E15" s="31">
        <v>75</v>
      </c>
      <c r="F15" s="97">
        <v>10.92</v>
      </c>
      <c r="G15" s="97">
        <v>5.35</v>
      </c>
      <c r="H15" s="97">
        <v>2.25</v>
      </c>
      <c r="I15" s="106">
        <f>I13+12</f>
        <v>64</v>
      </c>
      <c r="J15" s="97">
        <f t="shared" si="0"/>
        <v>5.333333333333333</v>
      </c>
      <c r="K15" s="97">
        <f t="shared" si="3"/>
        <v>2.0475000000000003</v>
      </c>
      <c r="L15" s="97">
        <f t="shared" si="4"/>
        <v>0.421875</v>
      </c>
    </row>
    <row r="16" spans="1:14" ht="12.75" customHeight="1" x14ac:dyDescent="0.2">
      <c r="A16" s="30" t="s">
        <v>245</v>
      </c>
      <c r="B16" s="30"/>
      <c r="C16" s="30"/>
      <c r="D16" s="30"/>
      <c r="E16" s="31">
        <v>43</v>
      </c>
      <c r="F16" s="97">
        <v>5.44</v>
      </c>
      <c r="G16" s="97">
        <v>5.94</v>
      </c>
      <c r="H16" s="97">
        <v>1.53</v>
      </c>
      <c r="I16" s="106">
        <v>56</v>
      </c>
      <c r="J16" s="97">
        <f t="shared" si="0"/>
        <v>4.666666666666667</v>
      </c>
      <c r="K16" s="97">
        <f t="shared" si="3"/>
        <v>1.1657142857142857</v>
      </c>
      <c r="L16" s="97">
        <f t="shared" si="4"/>
        <v>0.32785714285714285</v>
      </c>
    </row>
    <row r="17" spans="1:12" ht="12.75" customHeight="1" x14ac:dyDescent="0.2">
      <c r="A17" s="30" t="s">
        <v>260</v>
      </c>
      <c r="B17" s="30"/>
      <c r="C17" s="30"/>
      <c r="D17" s="30"/>
      <c r="E17" s="31">
        <v>50</v>
      </c>
      <c r="F17" s="97">
        <v>11</v>
      </c>
      <c r="G17" s="97">
        <v>6.23</v>
      </c>
      <c r="H17" s="97">
        <v>1.53</v>
      </c>
      <c r="I17" s="106">
        <v>66</v>
      </c>
      <c r="J17" s="97">
        <f t="shared" si="0"/>
        <v>5.5</v>
      </c>
      <c r="K17" s="97">
        <f t="shared" si="3"/>
        <v>2</v>
      </c>
      <c r="L17" s="97">
        <f t="shared" si="4"/>
        <v>0.2781818181818182</v>
      </c>
    </row>
    <row r="18" spans="1:12" ht="12.75" customHeight="1" x14ac:dyDescent="0.2">
      <c r="A18" s="30" t="s">
        <v>261</v>
      </c>
      <c r="B18" s="30"/>
      <c r="C18" s="30"/>
      <c r="D18" s="30"/>
      <c r="E18" s="31">
        <v>75</v>
      </c>
      <c r="F18" s="97">
        <v>7.69</v>
      </c>
      <c r="G18" s="97">
        <v>6.61</v>
      </c>
      <c r="H18" s="97">
        <v>2.25</v>
      </c>
      <c r="I18" s="106">
        <f>I16+12</f>
        <v>68</v>
      </c>
      <c r="J18" s="97">
        <f t="shared" si="0"/>
        <v>5.666666666666667</v>
      </c>
      <c r="K18" s="97">
        <f t="shared" ref="K18:K19" si="5">F18/J18</f>
        <v>1.3570588235294119</v>
      </c>
      <c r="L18" s="97">
        <f t="shared" ref="L18:L19" si="6">H18/J18</f>
        <v>0.39705882352941174</v>
      </c>
    </row>
    <row r="19" spans="1:12" ht="12.75" customHeight="1" x14ac:dyDescent="0.2">
      <c r="A19" s="30" t="s">
        <v>262</v>
      </c>
      <c r="B19" s="30"/>
      <c r="C19" s="30"/>
      <c r="D19" s="30"/>
      <c r="E19" s="31">
        <v>82</v>
      </c>
      <c r="F19" s="97">
        <v>13.25</v>
      </c>
      <c r="G19" s="97">
        <v>6.9</v>
      </c>
      <c r="H19" s="97">
        <v>2.25</v>
      </c>
      <c r="I19" s="106">
        <f>I17+12</f>
        <v>78</v>
      </c>
      <c r="J19" s="97">
        <f t="shared" si="0"/>
        <v>6.5</v>
      </c>
      <c r="K19" s="97">
        <f t="shared" si="5"/>
        <v>2.0384615384615383</v>
      </c>
      <c r="L19" s="97">
        <f t="shared" si="6"/>
        <v>0.34615384615384615</v>
      </c>
    </row>
    <row r="20" spans="1:12" ht="12.75" customHeight="1" x14ac:dyDescent="0.2">
      <c r="A20" s="30" t="s">
        <v>246</v>
      </c>
      <c r="B20" s="30"/>
      <c r="C20" s="30"/>
      <c r="D20" s="30"/>
      <c r="E20" s="31">
        <v>61</v>
      </c>
      <c r="F20" s="97">
        <v>6.81</v>
      </c>
      <c r="G20" s="97">
        <v>4.46</v>
      </c>
      <c r="H20" s="97">
        <v>3.02</v>
      </c>
      <c r="I20" s="106">
        <v>42</v>
      </c>
      <c r="J20" s="97">
        <f t="shared" si="0"/>
        <v>3.5</v>
      </c>
      <c r="K20" s="97">
        <f t="shared" ref="K20:K23" si="7">F20/J20</f>
        <v>1.9457142857142855</v>
      </c>
      <c r="L20" s="97">
        <f t="shared" ref="L20:L23" si="8">H20/J20</f>
        <v>0.86285714285714288</v>
      </c>
    </row>
    <row r="21" spans="1:12" ht="12.75" customHeight="1" x14ac:dyDescent="0.2">
      <c r="A21" s="30" t="s">
        <v>263</v>
      </c>
      <c r="B21" s="30"/>
      <c r="C21" s="30"/>
      <c r="D21" s="30"/>
      <c r="E21" s="31">
        <v>69</v>
      </c>
      <c r="F21" s="97">
        <v>13.72</v>
      </c>
      <c r="G21" s="97">
        <v>4.68</v>
      </c>
      <c r="H21" s="97">
        <v>3.02</v>
      </c>
      <c r="I21" s="106">
        <v>52</v>
      </c>
      <c r="J21" s="97">
        <f t="shared" si="0"/>
        <v>4.333333333333333</v>
      </c>
      <c r="K21" s="97">
        <f t="shared" si="7"/>
        <v>3.1661538461538465</v>
      </c>
      <c r="L21" s="97">
        <f t="shared" si="8"/>
        <v>0.69692307692307698</v>
      </c>
    </row>
    <row r="22" spans="1:12" ht="12.75" customHeight="1" x14ac:dyDescent="0.2">
      <c r="A22" s="30" t="s">
        <v>264</v>
      </c>
      <c r="B22" s="30"/>
      <c r="C22" s="30"/>
      <c r="D22" s="30"/>
      <c r="E22" s="31">
        <v>93</v>
      </c>
      <c r="F22" s="97">
        <v>9.06</v>
      </c>
      <c r="G22" s="97">
        <v>5.125</v>
      </c>
      <c r="H22" s="97">
        <v>3.02</v>
      </c>
      <c r="I22" s="106">
        <f>I20+12</f>
        <v>54</v>
      </c>
      <c r="J22" s="97">
        <f t="shared" si="0"/>
        <v>4.5</v>
      </c>
      <c r="K22" s="97">
        <f t="shared" si="7"/>
        <v>2.0133333333333336</v>
      </c>
      <c r="L22" s="97">
        <f t="shared" si="8"/>
        <v>0.6711111111111111</v>
      </c>
    </row>
    <row r="23" spans="1:12" ht="12.75" customHeight="1" x14ac:dyDescent="0.2">
      <c r="A23" s="30" t="s">
        <v>265</v>
      </c>
      <c r="B23" s="30"/>
      <c r="C23" s="30"/>
      <c r="D23" s="30"/>
      <c r="E23" s="31">
        <v>101</v>
      </c>
      <c r="F23" s="97">
        <v>15.97</v>
      </c>
      <c r="G23" s="97">
        <v>5.35</v>
      </c>
      <c r="H23" s="97">
        <v>3.02</v>
      </c>
      <c r="I23" s="106">
        <f>I21+12</f>
        <v>64</v>
      </c>
      <c r="J23" s="97">
        <f>I23/12</f>
        <v>5.333333333333333</v>
      </c>
      <c r="K23" s="97">
        <f t="shared" si="7"/>
        <v>2.9943750000000002</v>
      </c>
      <c r="L23" s="97">
        <f t="shared" si="8"/>
        <v>0.56625000000000003</v>
      </c>
    </row>
    <row r="24" spans="1:12" ht="12.75" customHeight="1" x14ac:dyDescent="0.2">
      <c r="A24" s="30" t="s">
        <v>247</v>
      </c>
      <c r="B24" s="30"/>
      <c r="C24" s="30"/>
      <c r="D24" s="30"/>
      <c r="E24" s="31">
        <v>32</v>
      </c>
      <c r="F24" s="97">
        <v>2.25</v>
      </c>
      <c r="G24" s="97">
        <v>0.67</v>
      </c>
      <c r="H24" s="97">
        <v>1.5</v>
      </c>
      <c r="I24" s="106">
        <v>12</v>
      </c>
      <c r="J24" s="97">
        <f>I24/12</f>
        <v>1</v>
      </c>
      <c r="K24" s="97">
        <f>F24/J24</f>
        <v>2.25</v>
      </c>
      <c r="L24" s="97">
        <f t="shared" ref="L24:L30" si="9">H24/K24</f>
        <v>0.66666666666666663</v>
      </c>
    </row>
    <row r="25" spans="1:12" ht="12.75" customHeight="1" x14ac:dyDescent="0.2">
      <c r="A25" s="30" t="s">
        <v>248</v>
      </c>
      <c r="B25" s="30"/>
      <c r="C25" s="30"/>
      <c r="D25" s="30"/>
      <c r="E25" s="98">
        <v>45</v>
      </c>
      <c r="F25" s="97">
        <v>5</v>
      </c>
      <c r="G25" s="97">
        <v>1.33</v>
      </c>
      <c r="H25" s="97">
        <v>1.67</v>
      </c>
      <c r="I25" s="106">
        <v>24</v>
      </c>
      <c r="J25" s="97">
        <f t="shared" ref="J25:J30" si="10">I25/12</f>
        <v>2</v>
      </c>
      <c r="K25" s="97">
        <f t="shared" ref="K25:K30" si="11">F25/J25</f>
        <v>2.5</v>
      </c>
      <c r="L25" s="97">
        <f t="shared" si="9"/>
        <v>0.66799999999999993</v>
      </c>
    </row>
    <row r="26" spans="1:12" ht="12.75" customHeight="1" x14ac:dyDescent="0.2">
      <c r="A26" s="30" t="s">
        <v>290</v>
      </c>
      <c r="B26" s="30"/>
      <c r="C26" s="30"/>
      <c r="D26" s="30"/>
      <c r="E26" s="98">
        <v>90</v>
      </c>
      <c r="F26" s="97">
        <v>14.93</v>
      </c>
      <c r="G26" s="97">
        <v>1.29</v>
      </c>
      <c r="H26" s="97">
        <v>3.93</v>
      </c>
      <c r="I26" s="106">
        <v>24</v>
      </c>
      <c r="J26" s="97">
        <f t="shared" si="10"/>
        <v>2</v>
      </c>
      <c r="K26" s="97">
        <f t="shared" si="11"/>
        <v>7.4649999999999999</v>
      </c>
      <c r="L26" s="97">
        <f t="shared" si="9"/>
        <v>0.52645679839249837</v>
      </c>
    </row>
    <row r="27" spans="1:12" ht="12.75" customHeight="1" x14ac:dyDescent="0.2">
      <c r="A27" s="30" t="s">
        <v>249</v>
      </c>
      <c r="B27" s="30"/>
      <c r="C27" s="30"/>
      <c r="D27" s="30"/>
      <c r="E27" s="98">
        <v>63.909090909090914</v>
      </c>
      <c r="F27" s="97">
        <v>9</v>
      </c>
      <c r="G27" s="97">
        <v>2</v>
      </c>
      <c r="H27" s="97">
        <v>2</v>
      </c>
      <c r="I27" s="106">
        <v>36</v>
      </c>
      <c r="J27" s="97">
        <f t="shared" si="10"/>
        <v>3</v>
      </c>
      <c r="K27" s="97">
        <f t="shared" si="11"/>
        <v>3</v>
      </c>
      <c r="L27" s="97">
        <f t="shared" si="9"/>
        <v>0.66666666666666663</v>
      </c>
    </row>
    <row r="28" spans="1:12" ht="12.75" customHeight="1" x14ac:dyDescent="0.2">
      <c r="A28" s="30" t="s">
        <v>250</v>
      </c>
      <c r="B28" s="30"/>
      <c r="C28" s="30"/>
      <c r="D28" s="30"/>
      <c r="E28" s="98">
        <v>41.92</v>
      </c>
      <c r="F28" s="97">
        <v>2.25</v>
      </c>
      <c r="G28" s="97">
        <v>0.67</v>
      </c>
      <c r="H28" s="97">
        <v>1.5</v>
      </c>
      <c r="I28" s="106">
        <v>12</v>
      </c>
      <c r="J28" s="97">
        <f t="shared" si="10"/>
        <v>1</v>
      </c>
      <c r="K28" s="97">
        <f t="shared" si="11"/>
        <v>2.25</v>
      </c>
      <c r="L28" s="97">
        <f t="shared" si="9"/>
        <v>0.66666666666666663</v>
      </c>
    </row>
    <row r="29" spans="1:12" ht="12.75" customHeight="1" x14ac:dyDescent="0.2">
      <c r="A29" s="30" t="s">
        <v>251</v>
      </c>
      <c r="B29" s="30"/>
      <c r="C29" s="30"/>
      <c r="D29" s="30"/>
      <c r="E29" s="98">
        <v>58.95</v>
      </c>
      <c r="F29" s="97">
        <v>5</v>
      </c>
      <c r="G29" s="97">
        <v>1.33</v>
      </c>
      <c r="H29" s="97">
        <v>1.67</v>
      </c>
      <c r="I29" s="106">
        <v>24</v>
      </c>
      <c r="J29" s="97">
        <f t="shared" si="10"/>
        <v>2</v>
      </c>
      <c r="K29" s="97">
        <f t="shared" si="11"/>
        <v>2.5</v>
      </c>
      <c r="L29" s="97">
        <f t="shared" si="9"/>
        <v>0.66799999999999993</v>
      </c>
    </row>
    <row r="30" spans="1:12" ht="12.75" customHeight="1" x14ac:dyDescent="0.2">
      <c r="A30" s="30" t="s">
        <v>252</v>
      </c>
      <c r="B30" s="30"/>
      <c r="C30" s="30"/>
      <c r="D30" s="30"/>
      <c r="E30" s="98">
        <v>83.720909090909103</v>
      </c>
      <c r="F30" s="97">
        <v>9</v>
      </c>
      <c r="G30" s="97">
        <v>2</v>
      </c>
      <c r="H30" s="97">
        <v>2</v>
      </c>
      <c r="I30" s="106">
        <v>36</v>
      </c>
      <c r="J30" s="97">
        <f t="shared" si="10"/>
        <v>3</v>
      </c>
      <c r="K30" s="97">
        <f t="shared" si="11"/>
        <v>3</v>
      </c>
      <c r="L30" s="97">
        <f t="shared" si="9"/>
        <v>0.66666666666666663</v>
      </c>
    </row>
    <row r="31" spans="1:12" ht="12.75" customHeight="1" x14ac:dyDescent="0.2">
      <c r="A31" s="30" t="s">
        <v>292</v>
      </c>
      <c r="B31" s="30"/>
      <c r="C31" s="30"/>
      <c r="D31" s="30"/>
      <c r="E31" s="98">
        <v>25</v>
      </c>
      <c r="F31" s="97">
        <v>1.778</v>
      </c>
      <c r="G31" s="97">
        <v>0.88900000000000001</v>
      </c>
      <c r="H31" s="97"/>
      <c r="I31" s="106"/>
      <c r="J31" s="97"/>
      <c r="K31" s="97"/>
      <c r="L31" s="97"/>
    </row>
    <row r="32" spans="1:12" ht="12.75" customHeight="1" x14ac:dyDescent="0.25">
      <c r="A32" s="107" t="s">
        <v>212</v>
      </c>
      <c r="B32" s="30"/>
      <c r="C32" s="30"/>
      <c r="D32" s="30"/>
      <c r="E32" s="106">
        <v>20</v>
      </c>
      <c r="F32" s="97">
        <v>0.09</v>
      </c>
      <c r="G32" s="97">
        <f>F32</f>
        <v>0.09</v>
      </c>
      <c r="H32" s="97">
        <f>K32*L32</f>
        <v>6.9444444444444441E-3</v>
      </c>
      <c r="I32" s="97">
        <v>12.96</v>
      </c>
      <c r="J32" s="97">
        <f>I32/12</f>
        <v>1.08</v>
      </c>
      <c r="K32" s="97">
        <f>1/12</f>
        <v>8.3333333333333329E-2</v>
      </c>
      <c r="L32" s="97">
        <f>1/12</f>
        <v>8.3333333333333329E-2</v>
      </c>
    </row>
    <row r="33" spans="1:12" ht="12.75" customHeight="1" x14ac:dyDescent="0.25">
      <c r="A33" s="107" t="s">
        <v>213</v>
      </c>
      <c r="B33" s="30"/>
      <c r="C33" s="30"/>
      <c r="D33" s="30"/>
      <c r="E33" s="106">
        <v>30</v>
      </c>
      <c r="F33" s="97">
        <v>0.75</v>
      </c>
      <c r="G33" s="97">
        <f>F33</f>
        <v>0.75</v>
      </c>
      <c r="H33" s="97">
        <f>F33</f>
        <v>0.75</v>
      </c>
      <c r="I33" s="97">
        <v>10.392304845413264</v>
      </c>
      <c r="J33" s="97">
        <f>I33/12</f>
        <v>0.86602540378443871</v>
      </c>
      <c r="K33" s="97">
        <f>SQRT($F$33)</f>
        <v>0.8660254037844386</v>
      </c>
      <c r="L33" s="97">
        <f>SQRT($F$33)</f>
        <v>0.8660254037844386</v>
      </c>
    </row>
    <row r="34" spans="1:12" ht="12.75" customHeight="1" x14ac:dyDescent="0.25">
      <c r="A34" s="107" t="s">
        <v>209</v>
      </c>
      <c r="B34" s="30"/>
      <c r="C34" s="30"/>
      <c r="D34" s="30"/>
      <c r="E34" s="106">
        <v>22.4</v>
      </c>
      <c r="F34" s="97">
        <v>2.11</v>
      </c>
      <c r="G34" s="97">
        <v>2.11</v>
      </c>
      <c r="H34" s="97">
        <v>2.02</v>
      </c>
      <c r="I34" s="97">
        <v>30</v>
      </c>
      <c r="J34" s="97">
        <f>I34/12</f>
        <v>2.5</v>
      </c>
      <c r="K34" s="97">
        <v>1.42</v>
      </c>
      <c r="L34" s="97">
        <v>1.42</v>
      </c>
    </row>
    <row r="35" spans="1:12" ht="12.75" customHeight="1" x14ac:dyDescent="0.25">
      <c r="A35" s="107" t="s">
        <v>210</v>
      </c>
      <c r="B35" s="30"/>
      <c r="C35" s="30"/>
      <c r="D35" s="30"/>
      <c r="E35" s="106">
        <v>4.2</v>
      </c>
      <c r="F35" s="97">
        <v>0.97</v>
      </c>
      <c r="G35" s="97">
        <f>F35</f>
        <v>0.97</v>
      </c>
      <c r="H35" s="97">
        <f>F35</f>
        <v>0.97</v>
      </c>
      <c r="I35" s="97">
        <v>11.830807242111588</v>
      </c>
      <c r="J35" s="97">
        <f>I35/12</f>
        <v>0.98590060350929898</v>
      </c>
      <c r="K35" s="97">
        <f>SQRT($F$35)</f>
        <v>0.98488578017961048</v>
      </c>
      <c r="L35" s="97">
        <f>SQRT($F$35)</f>
        <v>0.98488578017961048</v>
      </c>
    </row>
    <row r="36" spans="1:12" ht="12.75" customHeight="1" x14ac:dyDescent="0.25">
      <c r="A36" s="107" t="s">
        <v>211</v>
      </c>
      <c r="B36" s="30"/>
      <c r="C36" s="30"/>
      <c r="D36" s="30"/>
      <c r="E36" s="106">
        <v>4.2</v>
      </c>
      <c r="F36" s="97">
        <v>0.97</v>
      </c>
      <c r="G36" s="97">
        <f>F36</f>
        <v>0.97</v>
      </c>
      <c r="H36" s="97">
        <f>F36</f>
        <v>0.97</v>
      </c>
      <c r="I36" s="97">
        <v>11.830807242111588</v>
      </c>
      <c r="J36" s="97">
        <f>I36/12</f>
        <v>0.98590060350929898</v>
      </c>
      <c r="K36" s="97">
        <f>SQRT($F$35)</f>
        <v>0.98488578017961048</v>
      </c>
      <c r="L36" s="97">
        <f>SQRT($F$35)</f>
        <v>0.98488578017961048</v>
      </c>
    </row>
    <row r="37" spans="1:12" ht="12.75" customHeight="1" x14ac:dyDescent="0.2">
      <c r="J37"/>
    </row>
    <row r="38" spans="1:12" ht="12.75" customHeight="1" x14ac:dyDescent="0.2">
      <c r="J38"/>
    </row>
    <row r="39" spans="1:12" ht="12.75" customHeight="1" x14ac:dyDescent="0.2">
      <c r="J39"/>
    </row>
    <row r="40" spans="1:12" ht="12.75" customHeight="1" x14ac:dyDescent="0.2">
      <c r="J40"/>
    </row>
    <row r="41" spans="1:12" ht="12.75" customHeight="1" x14ac:dyDescent="0.2">
      <c r="J41"/>
    </row>
    <row r="49" spans="6:12" ht="12.75" customHeight="1" x14ac:dyDescent="0.2">
      <c r="F49" s="1"/>
      <c r="H49" s="1"/>
      <c r="I49" s="12"/>
      <c r="L49" s="1"/>
    </row>
    <row r="50" spans="6:12" ht="12.75" customHeight="1" x14ac:dyDescent="0.2">
      <c r="F50" s="1"/>
      <c r="H50" s="1"/>
      <c r="I50" s="12"/>
      <c r="L50" s="1"/>
    </row>
  </sheetData>
  <mergeCells count="11">
    <mergeCell ref="L1:L2"/>
    <mergeCell ref="A1:A2"/>
    <mergeCell ref="B1:B2"/>
    <mergeCell ref="C1:C2"/>
    <mergeCell ref="F1:F2"/>
    <mergeCell ref="K1:K2"/>
    <mergeCell ref="G1:G2"/>
    <mergeCell ref="D1:D2"/>
    <mergeCell ref="E1:E2"/>
    <mergeCell ref="I1:J1"/>
    <mergeCell ref="H1:H2"/>
  </mergeCells>
  <phoneticPr fontId="7" type="noConversion"/>
  <pageMargins left="0.75" right="0.75" top="1" bottom="1" header="0.51180555555555551" footer="0.51180555555555551"/>
  <pageSetup scale="62"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8830-0C0F-4171-A341-1364F7AC1F35}">
  <sheetPr codeName="Sheet3">
    <tabColor theme="0" tint="-0.499984740745262"/>
  </sheetPr>
  <dimension ref="A1:J29"/>
  <sheetViews>
    <sheetView tabSelected="1" zoomScaleNormal="100" zoomScaleSheetLayoutView="100" workbookViewId="0">
      <selection activeCell="B9" sqref="B9"/>
    </sheetView>
  </sheetViews>
  <sheetFormatPr defaultColWidth="9.140625" defaultRowHeight="12.75" x14ac:dyDescent="0.2"/>
  <cols>
    <col min="1" max="19" width="12.85546875" style="78" customWidth="1"/>
    <col min="20" max="16384" width="9.140625" style="78"/>
  </cols>
  <sheetData>
    <row r="1" spans="1:10" ht="15.75" x14ac:dyDescent="0.25">
      <c r="A1" s="77" t="s">
        <v>294</v>
      </c>
    </row>
    <row r="3" spans="1:10" ht="15.75" x14ac:dyDescent="0.25">
      <c r="A3" s="77" t="s">
        <v>15</v>
      </c>
      <c r="B3" s="79">
        <v>44958</v>
      </c>
    </row>
    <row r="4" spans="1:10" x14ac:dyDescent="0.2">
      <c r="A4" s="80" t="s">
        <v>193</v>
      </c>
      <c r="B4" s="78" t="s">
        <v>194</v>
      </c>
    </row>
    <row r="5" spans="1:10" x14ac:dyDescent="0.2">
      <c r="B5" s="81"/>
    </row>
    <row r="6" spans="1:10" ht="15.75" x14ac:dyDescent="0.25">
      <c r="A6" s="77"/>
      <c r="B6" s="81"/>
    </row>
    <row r="7" spans="1:10" ht="15.75" x14ac:dyDescent="0.25">
      <c r="A7" s="77" t="s">
        <v>375</v>
      </c>
      <c r="B7" s="79">
        <v>45005</v>
      </c>
    </row>
    <row r="8" spans="1:10" x14ac:dyDescent="0.2">
      <c r="A8" s="80" t="s">
        <v>193</v>
      </c>
      <c r="B8" s="233" t="s">
        <v>377</v>
      </c>
    </row>
    <row r="9" spans="1:10" x14ac:dyDescent="0.2">
      <c r="A9" s="80"/>
    </row>
    <row r="10" spans="1:10" x14ac:dyDescent="0.2">
      <c r="A10" s="80"/>
    </row>
    <row r="11" spans="1:10" x14ac:dyDescent="0.2">
      <c r="A11" s="80"/>
    </row>
    <row r="12" spans="1:10" x14ac:dyDescent="0.2">
      <c r="A12" s="80"/>
    </row>
    <row r="13" spans="1:10" x14ac:dyDescent="0.2">
      <c r="A13" s="80"/>
      <c r="B13" s="82"/>
      <c r="C13" s="83"/>
    </row>
    <row r="14" spans="1:10" x14ac:dyDescent="0.2">
      <c r="A14" s="80"/>
      <c r="B14" s="82"/>
      <c r="C14" s="84"/>
      <c r="D14" s="84"/>
      <c r="E14" s="84"/>
      <c r="F14" s="84"/>
      <c r="G14" s="84"/>
      <c r="H14" s="84"/>
      <c r="I14" s="84"/>
      <c r="J14" s="84"/>
    </row>
    <row r="15" spans="1:10" x14ac:dyDescent="0.2">
      <c r="A15" s="80"/>
      <c r="B15" s="82"/>
      <c r="C15" s="84"/>
      <c r="D15" s="84"/>
      <c r="E15" s="84"/>
      <c r="F15" s="84"/>
      <c r="G15" s="84"/>
      <c r="H15" s="84"/>
      <c r="I15" s="84"/>
      <c r="J15" s="84"/>
    </row>
    <row r="16" spans="1:10" x14ac:dyDescent="0.2">
      <c r="A16" s="80"/>
      <c r="B16" s="82"/>
      <c r="C16" s="83"/>
    </row>
    <row r="17" spans="1:10" x14ac:dyDescent="0.2">
      <c r="A17" s="80"/>
      <c r="B17" s="85"/>
    </row>
    <row r="18" spans="1:10" x14ac:dyDescent="0.2">
      <c r="A18" s="80"/>
      <c r="B18" s="85"/>
    </row>
    <row r="19" spans="1:10" x14ac:dyDescent="0.2">
      <c r="A19" s="80"/>
      <c r="B19" s="81"/>
    </row>
    <row r="20" spans="1:10" x14ac:dyDescent="0.2">
      <c r="A20" s="80"/>
    </row>
    <row r="21" spans="1:10" x14ac:dyDescent="0.2">
      <c r="A21" s="80"/>
    </row>
    <row r="22" spans="1:10" x14ac:dyDescent="0.2">
      <c r="A22" s="80"/>
      <c r="B22" s="82"/>
    </row>
    <row r="23" spans="1:10" x14ac:dyDescent="0.2">
      <c r="B23" s="82"/>
    </row>
    <row r="24" spans="1:10" x14ac:dyDescent="0.2">
      <c r="A24" s="80"/>
    </row>
    <row r="25" spans="1:10" x14ac:dyDescent="0.2">
      <c r="A25" s="80"/>
      <c r="B25" s="86"/>
      <c r="C25" s="86"/>
      <c r="D25" s="86"/>
      <c r="E25" s="86"/>
      <c r="F25" s="86"/>
      <c r="G25" s="86"/>
      <c r="H25" s="86"/>
      <c r="I25" s="86"/>
      <c r="J25" s="86"/>
    </row>
    <row r="26" spans="1:10" x14ac:dyDescent="0.2">
      <c r="B26" s="86"/>
      <c r="C26" s="86"/>
      <c r="D26" s="86"/>
      <c r="E26" s="86"/>
      <c r="F26" s="86"/>
      <c r="G26" s="86"/>
      <c r="H26" s="86"/>
      <c r="I26" s="86"/>
      <c r="J26" s="86"/>
    </row>
    <row r="27" spans="1:10" x14ac:dyDescent="0.2">
      <c r="B27" s="86"/>
      <c r="C27" s="86"/>
      <c r="D27" s="86"/>
      <c r="E27" s="86"/>
      <c r="F27" s="86"/>
      <c r="G27" s="86"/>
      <c r="H27" s="86"/>
      <c r="I27" s="86"/>
      <c r="J27" s="86"/>
    </row>
    <row r="28" spans="1:10" x14ac:dyDescent="0.2">
      <c r="A28" s="80"/>
    </row>
    <row r="29" spans="1:10" x14ac:dyDescent="0.2">
      <c r="A29" s="80"/>
    </row>
  </sheetData>
  <pageMargins left="0.7" right="0.7" top="0.75" bottom="0.75" header="0.3" footer="0.3"/>
  <pageSetup scale="71" orientation="portrait"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0" tint="-0.499984740745262"/>
  </sheetPr>
  <dimension ref="A1:O44"/>
  <sheetViews>
    <sheetView zoomScale="85" zoomScaleNormal="85" zoomScaleSheetLayoutView="100" workbookViewId="0">
      <selection activeCell="F33" sqref="F33"/>
    </sheetView>
  </sheetViews>
  <sheetFormatPr defaultColWidth="9.140625" defaultRowHeight="12.75" x14ac:dyDescent="0.2"/>
  <cols>
    <col min="1" max="1" width="5.140625" style="17" customWidth="1"/>
    <col min="2" max="16384" width="9.140625" style="17"/>
  </cols>
  <sheetData>
    <row r="1" spans="1:14" customFormat="1" x14ac:dyDescent="0.2">
      <c r="A1" s="249" t="s">
        <v>295</v>
      </c>
      <c r="B1" s="249"/>
      <c r="C1" s="249"/>
      <c r="D1" s="249"/>
      <c r="E1" s="249"/>
      <c r="F1" s="249"/>
      <c r="G1" s="249"/>
      <c r="H1" s="249"/>
      <c r="I1" s="249"/>
      <c r="J1" s="249"/>
      <c r="L1" s="17"/>
      <c r="M1" s="17"/>
    </row>
    <row r="2" spans="1:14" customFormat="1" x14ac:dyDescent="0.2">
      <c r="A2" s="250" t="s">
        <v>1</v>
      </c>
      <c r="B2" s="250"/>
      <c r="C2" s="250"/>
      <c r="D2" s="250"/>
      <c r="E2" s="250"/>
      <c r="F2" s="250"/>
      <c r="G2" s="250"/>
      <c r="H2" s="250"/>
      <c r="I2" s="250"/>
      <c r="J2" s="250"/>
      <c r="L2" s="17"/>
      <c r="M2" s="17"/>
    </row>
    <row r="3" spans="1:14" customFormat="1" x14ac:dyDescent="0.2">
      <c r="A3" s="244"/>
      <c r="B3" s="244"/>
      <c r="C3" s="244"/>
      <c r="D3" s="244"/>
      <c r="E3" s="244"/>
      <c r="F3" s="244"/>
      <c r="G3" s="244"/>
      <c r="H3" s="244"/>
      <c r="I3" s="244"/>
      <c r="J3" s="244"/>
      <c r="L3" s="251" t="s">
        <v>149</v>
      </c>
      <c r="M3" s="251"/>
    </row>
    <row r="4" spans="1:14" customFormat="1" x14ac:dyDescent="0.2">
      <c r="A4" s="244"/>
      <c r="B4" s="244"/>
      <c r="C4" s="244"/>
      <c r="D4" s="244"/>
      <c r="E4" s="244"/>
      <c r="F4" s="244"/>
      <c r="G4" s="244"/>
      <c r="H4" s="244"/>
      <c r="I4" s="244"/>
      <c r="J4" s="244"/>
      <c r="L4" s="252" t="s">
        <v>150</v>
      </c>
      <c r="M4" s="252"/>
    </row>
    <row r="5" spans="1:14" x14ac:dyDescent="0.2">
      <c r="A5" s="88" t="s">
        <v>195</v>
      </c>
      <c r="B5" s="89"/>
      <c r="C5" s="89"/>
      <c r="D5" s="89"/>
      <c r="E5" s="89"/>
      <c r="F5" s="89"/>
      <c r="G5" s="89"/>
      <c r="H5" s="89"/>
      <c r="I5" s="89"/>
      <c r="J5" s="89"/>
      <c r="K5" s="89"/>
      <c r="L5" s="253" t="s">
        <v>151</v>
      </c>
      <c r="M5" s="253"/>
      <c r="N5" s="89"/>
    </row>
    <row r="6" spans="1:14" x14ac:dyDescent="0.2">
      <c r="A6" s="88"/>
      <c r="B6" s="90"/>
      <c r="C6" s="90"/>
      <c r="D6" s="90"/>
      <c r="E6" s="90"/>
      <c r="F6" s="90"/>
      <c r="G6" s="90"/>
      <c r="H6" s="90"/>
      <c r="I6" s="90"/>
      <c r="J6" s="90"/>
      <c r="K6" s="90"/>
      <c r="L6" s="254" t="s">
        <v>152</v>
      </c>
      <c r="M6" s="254"/>
      <c r="N6" s="90"/>
    </row>
    <row r="7" spans="1:14" x14ac:dyDescent="0.2">
      <c r="A7" s="88" t="s">
        <v>197</v>
      </c>
      <c r="B7" s="91"/>
      <c r="C7" s="92"/>
      <c r="D7" s="90"/>
      <c r="E7" s="90"/>
      <c r="F7" s="90"/>
      <c r="G7" s="90"/>
      <c r="H7" s="90"/>
      <c r="I7" s="90"/>
      <c r="J7" s="90"/>
      <c r="K7" s="90"/>
      <c r="L7" s="255" t="s">
        <v>153</v>
      </c>
      <c r="M7" s="255"/>
      <c r="N7" s="90"/>
    </row>
    <row r="8" spans="1:14" x14ac:dyDescent="0.2">
      <c r="A8" s="56" t="s">
        <v>108</v>
      </c>
      <c r="B8" s="56"/>
      <c r="C8" s="93"/>
      <c r="D8" s="90"/>
      <c r="E8" s="90"/>
      <c r="F8" s="90"/>
      <c r="G8" s="90"/>
      <c r="H8" s="90"/>
      <c r="I8" s="90"/>
      <c r="J8" s="90"/>
      <c r="K8" s="90"/>
      <c r="L8" s="90"/>
      <c r="M8" s="90"/>
      <c r="N8" s="90"/>
    </row>
    <row r="9" spans="1:14" x14ac:dyDescent="0.2">
      <c r="A9" s="56"/>
      <c r="B9" s="56" t="s">
        <v>206</v>
      </c>
      <c r="C9" s="90"/>
      <c r="D9" s="90"/>
      <c r="E9" s="90"/>
      <c r="F9" s="90"/>
      <c r="G9" s="90"/>
      <c r="H9" s="90"/>
      <c r="I9" s="90"/>
      <c r="J9" s="90"/>
      <c r="K9" s="90"/>
      <c r="L9" s="90"/>
      <c r="M9" s="90"/>
      <c r="N9" s="90"/>
    </row>
    <row r="10" spans="1:14" x14ac:dyDescent="0.2">
      <c r="A10" s="56"/>
      <c r="B10" s="56" t="s">
        <v>240</v>
      </c>
      <c r="C10" s="90"/>
      <c r="D10" s="90"/>
      <c r="E10" s="90"/>
      <c r="F10" s="90"/>
      <c r="G10" s="90"/>
      <c r="H10" s="90"/>
      <c r="I10" s="90"/>
      <c r="J10" s="90"/>
      <c r="K10" s="90"/>
      <c r="L10" s="90"/>
      <c r="M10" s="90"/>
      <c r="N10" s="90"/>
    </row>
    <row r="11" spans="1:14" x14ac:dyDescent="0.2">
      <c r="A11" s="56" t="s">
        <v>109</v>
      </c>
      <c r="B11" s="56"/>
      <c r="C11" s="90"/>
      <c r="D11" s="90"/>
      <c r="E11" s="90"/>
      <c r="F11" s="90"/>
      <c r="G11" s="90"/>
      <c r="H11" s="90"/>
      <c r="I11" s="90"/>
      <c r="J11" s="90"/>
      <c r="K11" s="90"/>
      <c r="L11" s="90"/>
      <c r="M11" s="90"/>
      <c r="N11" s="90"/>
    </row>
    <row r="12" spans="1:14" x14ac:dyDescent="0.2">
      <c r="A12" s="56"/>
      <c r="B12" s="56" t="s">
        <v>16</v>
      </c>
      <c r="C12" s="90"/>
      <c r="D12" s="90"/>
      <c r="E12" s="90"/>
      <c r="F12" s="90"/>
      <c r="G12" s="90"/>
      <c r="H12" s="90"/>
      <c r="I12" s="90"/>
      <c r="J12" s="90"/>
      <c r="K12" s="90"/>
      <c r="L12" s="90"/>
      <c r="M12" s="90"/>
      <c r="N12" s="90"/>
    </row>
    <row r="13" spans="1:14" x14ac:dyDescent="0.2">
      <c r="A13" s="56" t="s">
        <v>239</v>
      </c>
      <c r="B13" s="56"/>
      <c r="C13" s="90"/>
      <c r="D13" s="90"/>
      <c r="E13" s="90"/>
      <c r="F13" s="90"/>
      <c r="G13" s="90"/>
      <c r="H13" s="90"/>
      <c r="I13" s="90"/>
      <c r="J13" s="90"/>
      <c r="K13" s="90"/>
      <c r="L13" s="90"/>
      <c r="M13" s="90"/>
      <c r="N13" s="90"/>
    </row>
    <row r="14" spans="1:14" x14ac:dyDescent="0.2">
      <c r="A14" s="56"/>
      <c r="B14" s="56" t="s">
        <v>237</v>
      </c>
      <c r="C14" s="90"/>
      <c r="D14" s="90"/>
      <c r="E14" s="90"/>
      <c r="F14" s="90"/>
      <c r="G14" s="90"/>
      <c r="H14" s="90"/>
      <c r="I14" s="90"/>
      <c r="J14" s="90"/>
      <c r="K14" s="90"/>
      <c r="L14" s="90"/>
      <c r="M14" s="90"/>
      <c r="N14" s="90"/>
    </row>
    <row r="15" spans="1:14" x14ac:dyDescent="0.2">
      <c r="A15" s="56"/>
      <c r="B15" s="56" t="s">
        <v>238</v>
      </c>
      <c r="C15" s="90"/>
      <c r="D15" s="90"/>
      <c r="E15" s="90"/>
      <c r="F15" s="90"/>
      <c r="G15" s="90"/>
      <c r="H15" s="90"/>
      <c r="I15" s="90"/>
      <c r="J15" s="90"/>
      <c r="K15" s="90"/>
      <c r="L15" s="90"/>
      <c r="M15" s="90"/>
      <c r="N15" s="90"/>
    </row>
    <row r="16" spans="1:14" x14ac:dyDescent="0.2">
      <c r="A16" s="56"/>
      <c r="B16" s="56" t="s">
        <v>284</v>
      </c>
      <c r="C16" s="90"/>
      <c r="D16" s="90"/>
      <c r="E16" s="90"/>
      <c r="F16" s="90"/>
      <c r="G16" s="90"/>
      <c r="H16" s="90"/>
      <c r="I16" s="90"/>
      <c r="J16" s="90"/>
      <c r="K16" s="90"/>
      <c r="L16" s="90"/>
      <c r="M16" s="90"/>
      <c r="N16" s="90"/>
    </row>
    <row r="17" spans="1:15" x14ac:dyDescent="0.2">
      <c r="A17" s="56"/>
      <c r="B17" s="56"/>
      <c r="C17" s="90"/>
      <c r="D17" s="90"/>
      <c r="E17" s="90"/>
      <c r="F17" s="90"/>
      <c r="G17" s="90"/>
      <c r="H17" s="90"/>
      <c r="I17" s="90"/>
      <c r="J17" s="90"/>
      <c r="K17" s="90"/>
      <c r="L17" s="90"/>
      <c r="M17" s="90"/>
      <c r="N17" s="90"/>
    </row>
    <row r="18" spans="1:15" x14ac:dyDescent="0.2">
      <c r="A18" s="88" t="s">
        <v>196</v>
      </c>
      <c r="B18" s="91"/>
      <c r="C18" s="90"/>
      <c r="D18" s="90"/>
      <c r="E18" s="90"/>
      <c r="F18" s="90"/>
      <c r="G18" s="90"/>
      <c r="H18" s="90"/>
      <c r="I18" s="90"/>
      <c r="J18" s="90"/>
      <c r="K18" s="90"/>
      <c r="L18" s="90"/>
      <c r="M18" s="90"/>
      <c r="N18" s="90"/>
    </row>
    <row r="19" spans="1:15" x14ac:dyDescent="0.2">
      <c r="A19" s="93" t="s">
        <v>204</v>
      </c>
      <c r="B19" s="90"/>
      <c r="C19" s="90"/>
      <c r="D19" s="90"/>
      <c r="E19" s="90"/>
      <c r="F19" s="90"/>
      <c r="G19" s="90"/>
      <c r="H19" s="90"/>
      <c r="I19" s="90"/>
      <c r="J19" s="90"/>
      <c r="K19" s="90"/>
      <c r="L19" s="90"/>
      <c r="M19" s="90"/>
      <c r="N19" s="90"/>
    </row>
    <row r="20" spans="1:15" x14ac:dyDescent="0.2">
      <c r="A20" s="93" t="s">
        <v>205</v>
      </c>
      <c r="B20" s="91"/>
      <c r="C20" s="90"/>
      <c r="D20" s="90"/>
      <c r="E20" s="90"/>
      <c r="F20" s="90"/>
      <c r="G20" s="90"/>
      <c r="H20" s="90"/>
      <c r="I20" s="90"/>
      <c r="J20" s="90"/>
      <c r="K20" s="90"/>
      <c r="L20" s="90"/>
      <c r="M20" s="90"/>
      <c r="N20" s="90"/>
    </row>
    <row r="21" spans="1:15" x14ac:dyDescent="0.2">
      <c r="A21" s="90"/>
      <c r="B21" s="94" t="s">
        <v>207</v>
      </c>
      <c r="C21" s="90"/>
      <c r="D21" s="90"/>
      <c r="E21" s="90"/>
      <c r="F21" s="90"/>
      <c r="G21" s="90"/>
      <c r="H21" s="90"/>
      <c r="I21" s="90"/>
      <c r="J21" s="90"/>
      <c r="K21" s="90"/>
      <c r="L21" s="90"/>
      <c r="M21" s="90"/>
      <c r="N21" s="90"/>
    </row>
    <row r="22" spans="1:15" x14ac:dyDescent="0.2">
      <c r="A22" s="90"/>
      <c r="B22" s="56" t="s">
        <v>240</v>
      </c>
      <c r="C22" s="90"/>
      <c r="D22" s="90"/>
      <c r="E22" s="90"/>
      <c r="F22" s="90"/>
      <c r="G22" s="90"/>
      <c r="H22" s="90"/>
      <c r="I22" s="90"/>
      <c r="J22" s="90"/>
      <c r="K22" s="90"/>
      <c r="L22" s="90"/>
      <c r="M22" s="90"/>
      <c r="N22" s="90"/>
    </row>
    <row r="23" spans="1:15" x14ac:dyDescent="0.2">
      <c r="A23" s="56" t="s">
        <v>239</v>
      </c>
      <c r="B23" s="56"/>
      <c r="C23" s="90"/>
      <c r="D23" s="90"/>
      <c r="E23" s="90"/>
      <c r="F23" s="90"/>
      <c r="G23" s="90"/>
      <c r="H23" s="90"/>
      <c r="I23" s="90"/>
      <c r="J23" s="90"/>
      <c r="K23" s="90"/>
      <c r="L23" s="90"/>
      <c r="M23" s="90"/>
      <c r="N23" s="90"/>
    </row>
    <row r="24" spans="1:15" x14ac:dyDescent="0.2">
      <c r="A24" s="56"/>
      <c r="B24" s="56" t="s">
        <v>237</v>
      </c>
      <c r="C24" s="90"/>
      <c r="D24" s="90"/>
      <c r="E24" s="90"/>
      <c r="F24" s="90"/>
      <c r="G24" s="90"/>
      <c r="H24" s="90"/>
      <c r="I24" s="90"/>
      <c r="J24" s="90"/>
      <c r="K24" s="90"/>
      <c r="L24" s="90"/>
      <c r="M24" s="90"/>
      <c r="N24" s="90"/>
    </row>
    <row r="25" spans="1:15" x14ac:dyDescent="0.2">
      <c r="A25" s="56"/>
      <c r="B25" s="56" t="s">
        <v>238</v>
      </c>
      <c r="C25" s="90"/>
      <c r="D25" s="90"/>
      <c r="E25" s="90"/>
      <c r="F25" s="90"/>
      <c r="G25" s="90"/>
      <c r="H25" s="90"/>
      <c r="I25" s="90"/>
      <c r="J25" s="93"/>
      <c r="K25" s="90"/>
      <c r="N25" s="90"/>
    </row>
    <row r="26" spans="1:15" x14ac:dyDescent="0.2">
      <c r="A26" s="56"/>
      <c r="B26" s="56" t="s">
        <v>284</v>
      </c>
      <c r="C26" s="90"/>
      <c r="D26" s="90"/>
      <c r="E26" s="90"/>
      <c r="F26" s="90"/>
      <c r="G26" s="90"/>
      <c r="H26" s="90"/>
      <c r="I26" s="90"/>
      <c r="J26" s="93"/>
      <c r="K26" s="90"/>
      <c r="N26" s="90"/>
    </row>
    <row r="27" spans="1:15" x14ac:dyDescent="0.2">
      <c r="A27" s="88"/>
      <c r="B27" s="90"/>
      <c r="C27" s="90"/>
      <c r="D27" s="90"/>
      <c r="E27" s="90"/>
      <c r="F27" s="90"/>
      <c r="G27" s="90"/>
      <c r="H27" s="90"/>
      <c r="I27" s="90"/>
      <c r="J27" s="93"/>
      <c r="K27" s="90"/>
      <c r="N27" s="90"/>
    </row>
    <row r="28" spans="1:15" x14ac:dyDescent="0.2">
      <c r="A28" s="248" t="s">
        <v>200</v>
      </c>
      <c r="B28" s="248"/>
      <c r="C28" s="248"/>
      <c r="D28" s="248"/>
      <c r="E28" s="248"/>
      <c r="F28" s="248"/>
      <c r="G28" s="248"/>
      <c r="H28" s="248"/>
      <c r="I28" s="248"/>
      <c r="J28" s="248"/>
      <c r="K28" s="248"/>
      <c r="L28" s="248"/>
      <c r="M28" s="248"/>
      <c r="N28" s="248"/>
    </row>
    <row r="29" spans="1:15" ht="12.75" customHeight="1" x14ac:dyDescent="0.2">
      <c r="A29" s="93"/>
      <c r="B29" s="248" t="s">
        <v>202</v>
      </c>
      <c r="C29" s="248"/>
      <c r="D29" s="248"/>
      <c r="E29" s="248"/>
      <c r="F29" s="248"/>
      <c r="G29" s="248"/>
      <c r="H29" s="248"/>
      <c r="I29" s="248"/>
      <c r="J29" s="248"/>
      <c r="K29" s="248"/>
      <c r="L29" s="248"/>
      <c r="M29" s="248"/>
      <c r="N29" s="248"/>
      <c r="O29" s="248"/>
    </row>
    <row r="30" spans="1:15" ht="12.75" customHeight="1" x14ac:dyDescent="0.2">
      <c r="A30" s="93"/>
      <c r="B30" s="248" t="s">
        <v>201</v>
      </c>
      <c r="C30" s="248"/>
      <c r="D30" s="248"/>
      <c r="E30" s="248"/>
      <c r="F30" s="248"/>
      <c r="G30" s="248"/>
      <c r="H30" s="248"/>
      <c r="I30" s="248"/>
      <c r="J30" s="248"/>
      <c r="K30" s="248"/>
      <c r="L30" s="248"/>
      <c r="M30" s="248"/>
      <c r="N30" s="248"/>
      <c r="O30" s="248"/>
    </row>
    <row r="31" spans="1:15" ht="12.75" customHeight="1" x14ac:dyDescent="0.2">
      <c r="A31" s="93"/>
      <c r="B31" s="90"/>
      <c r="C31" s="94" t="s">
        <v>203</v>
      </c>
      <c r="D31" s="90"/>
      <c r="E31" s="90"/>
      <c r="F31" s="90"/>
      <c r="G31" s="90"/>
      <c r="H31" s="90"/>
      <c r="I31" s="90"/>
      <c r="J31" s="90"/>
      <c r="K31" s="90"/>
      <c r="N31" s="90"/>
    </row>
    <row r="32" spans="1:15" x14ac:dyDescent="0.2">
      <c r="A32" s="93"/>
      <c r="B32" s="90"/>
      <c r="C32" s="90"/>
      <c r="D32" s="90"/>
      <c r="E32" s="90"/>
      <c r="F32" s="90"/>
      <c r="G32" s="90"/>
      <c r="H32" s="90"/>
      <c r="I32" s="90"/>
      <c r="J32" s="90"/>
      <c r="K32" s="90"/>
      <c r="N32" s="90"/>
    </row>
    <row r="33" spans="1:14" x14ac:dyDescent="0.2">
      <c r="A33" s="88" t="s">
        <v>223</v>
      </c>
      <c r="B33" s="90"/>
      <c r="C33" s="90"/>
      <c r="D33" s="90"/>
      <c r="E33" s="90"/>
      <c r="F33" s="90"/>
      <c r="G33" s="90"/>
      <c r="H33" s="90"/>
      <c r="I33" s="90"/>
      <c r="J33" s="90"/>
      <c r="K33" s="90"/>
      <c r="N33" s="90"/>
    </row>
    <row r="34" spans="1:14" x14ac:dyDescent="0.2">
      <c r="A34" s="93"/>
      <c r="B34" s="94" t="s">
        <v>225</v>
      </c>
      <c r="C34" s="90"/>
      <c r="D34" s="90"/>
      <c r="E34" s="90"/>
      <c r="F34" s="90"/>
      <c r="G34" s="90"/>
      <c r="H34" s="90"/>
      <c r="I34" s="90"/>
      <c r="J34" s="90"/>
      <c r="K34" s="90"/>
      <c r="N34" s="90"/>
    </row>
    <row r="35" spans="1:14" x14ac:dyDescent="0.2">
      <c r="A35" s="90"/>
      <c r="B35" s="96" t="s">
        <v>226</v>
      </c>
      <c r="C35" s="90"/>
      <c r="D35" s="90"/>
      <c r="E35" s="90"/>
      <c r="F35" s="90"/>
      <c r="G35" s="90"/>
      <c r="H35" s="90"/>
      <c r="I35" s="90"/>
      <c r="J35" s="90"/>
      <c r="K35" s="90"/>
      <c r="L35" s="90"/>
      <c r="M35" s="90"/>
      <c r="N35" s="93"/>
    </row>
    <row r="39" spans="1:14" ht="12.75" customHeight="1" x14ac:dyDescent="0.2">
      <c r="A39" s="87"/>
      <c r="B39" s="87"/>
      <c r="C39" s="87"/>
      <c r="D39" s="87"/>
      <c r="E39" s="87"/>
      <c r="F39" s="87"/>
      <c r="G39" s="87"/>
      <c r="H39" s="87"/>
      <c r="I39" s="87"/>
      <c r="J39" s="87"/>
    </row>
    <row r="40" spans="1:14" x14ac:dyDescent="0.2">
      <c r="A40" s="56"/>
      <c r="B40" s="56"/>
      <c r="C40" s="56"/>
      <c r="D40" s="56"/>
      <c r="E40" s="56"/>
      <c r="F40" s="56"/>
      <c r="G40" s="56"/>
      <c r="H40" s="56"/>
      <c r="I40" s="56"/>
      <c r="J40" s="56"/>
    </row>
    <row r="41" spans="1:14" x14ac:dyDescent="0.2">
      <c r="A41" s="56"/>
      <c r="B41" s="56"/>
      <c r="C41" s="56"/>
      <c r="D41" s="56"/>
      <c r="E41" s="56"/>
      <c r="F41" s="56"/>
      <c r="G41" s="56"/>
      <c r="H41" s="56"/>
      <c r="I41" s="56"/>
      <c r="J41" s="56"/>
    </row>
    <row r="42" spans="1:14" x14ac:dyDescent="0.2">
      <c r="A42" s="56"/>
      <c r="B42" s="56"/>
      <c r="C42" s="56"/>
      <c r="D42" s="56"/>
      <c r="E42" s="56"/>
      <c r="F42" s="56"/>
      <c r="G42" s="56"/>
      <c r="H42" s="56"/>
      <c r="I42" s="56"/>
      <c r="J42" s="56"/>
    </row>
    <row r="43" spans="1:14" x14ac:dyDescent="0.2">
      <c r="A43" s="56"/>
      <c r="B43" s="56"/>
      <c r="C43" s="56"/>
      <c r="D43" s="56"/>
      <c r="E43" s="56"/>
      <c r="F43" s="56"/>
      <c r="G43" s="56"/>
      <c r="H43" s="56"/>
      <c r="I43" s="56"/>
      <c r="J43" s="56"/>
    </row>
    <row r="44" spans="1:14" x14ac:dyDescent="0.2">
      <c r="A44" s="56"/>
      <c r="B44" s="56"/>
      <c r="C44" s="56"/>
      <c r="D44" s="56"/>
      <c r="E44" s="56"/>
      <c r="F44" s="56"/>
      <c r="G44" s="56"/>
      <c r="H44" s="56"/>
      <c r="I44" s="56"/>
      <c r="J44" s="56"/>
    </row>
  </sheetData>
  <mergeCells count="12">
    <mergeCell ref="A28:N28"/>
    <mergeCell ref="B29:O29"/>
    <mergeCell ref="B30:O30"/>
    <mergeCell ref="A1:J1"/>
    <mergeCell ref="A2:J2"/>
    <mergeCell ref="A3:J3"/>
    <mergeCell ref="A4:J4"/>
    <mergeCell ref="L3:M3"/>
    <mergeCell ref="L4:M4"/>
    <mergeCell ref="L5:M5"/>
    <mergeCell ref="L6:M6"/>
    <mergeCell ref="L7:M7"/>
  </mergeCells>
  <conditionalFormatting sqref="L4">
    <cfRule type="cellIs" dxfId="28" priority="1" stopIfTrue="1" operator="equal">
      <formula>0</formula>
    </cfRule>
  </conditionalFormatting>
  <pageMargins left="0.7" right="0.7" top="0.75" bottom="0.75" header="0.3" footer="0.3"/>
  <pageSetup scale="63"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3"/>
  </sheetPr>
  <dimension ref="A1:BS114"/>
  <sheetViews>
    <sheetView zoomScaleNormal="100" zoomScaleSheetLayoutView="100" workbookViewId="0">
      <selection activeCell="A3" sqref="A3"/>
    </sheetView>
  </sheetViews>
  <sheetFormatPr defaultRowHeight="12.75" x14ac:dyDescent="0.2"/>
  <cols>
    <col min="1" max="1" width="13.42578125" customWidth="1"/>
    <col min="2" max="2" width="23.7109375" customWidth="1"/>
    <col min="3" max="3" width="11.5703125" customWidth="1"/>
    <col min="4" max="4" width="11" bestFit="1" customWidth="1"/>
    <col min="5" max="6" width="14" bestFit="1" customWidth="1"/>
    <col min="7" max="7" width="11.140625" customWidth="1"/>
    <col min="8" max="8" width="11.28515625" customWidth="1"/>
    <col min="9" max="9" width="11.85546875" bestFit="1" customWidth="1"/>
    <col min="10" max="10" width="10.85546875" bestFit="1" customWidth="1"/>
    <col min="11" max="11" width="11.85546875" bestFit="1" customWidth="1"/>
    <col min="12" max="12" width="12.42578125" style="1" customWidth="1"/>
    <col min="13" max="13" width="12.5703125" style="2" bestFit="1" customWidth="1"/>
    <col min="14" max="14" width="11.5703125" bestFit="1" customWidth="1"/>
    <col min="15" max="15" width="11.140625" bestFit="1" customWidth="1"/>
    <col min="16" max="16" width="18.42578125" bestFit="1" customWidth="1"/>
    <col min="17" max="17" width="10.5703125" bestFit="1" customWidth="1"/>
    <col min="18" max="25" width="9.5703125" bestFit="1" customWidth="1"/>
    <col min="26" max="38" width="9.28515625" bestFit="1" customWidth="1"/>
    <col min="39" max="42" width="9.5703125" bestFit="1" customWidth="1"/>
    <col min="43" max="71" width="9.28515625" bestFit="1" customWidth="1"/>
  </cols>
  <sheetData>
    <row r="1" spans="1:16" s="3" customFormat="1" ht="15.75" x14ac:dyDescent="0.25">
      <c r="A1" s="3" t="s">
        <v>293</v>
      </c>
      <c r="F1" s="278" t="s">
        <v>0</v>
      </c>
      <c r="G1" s="278"/>
      <c r="H1" s="279"/>
      <c r="I1" s="279"/>
      <c r="J1" s="279"/>
      <c r="K1" s="279"/>
      <c r="L1" s="279"/>
      <c r="M1" s="279"/>
      <c r="N1" s="279"/>
      <c r="O1" s="16"/>
      <c r="P1"/>
    </row>
    <row r="2" spans="1:16" ht="16.5" thickBot="1" x14ac:dyDescent="0.25">
      <c r="A2" t="s">
        <v>1</v>
      </c>
      <c r="F2" s="278" t="s">
        <v>2</v>
      </c>
      <c r="G2" s="278"/>
      <c r="H2" s="279"/>
      <c r="I2" s="279"/>
      <c r="J2" s="235"/>
      <c r="K2" s="236"/>
      <c r="L2" s="237"/>
      <c r="M2" s="236"/>
      <c r="N2" s="236"/>
    </row>
    <row r="3" spans="1:16" ht="15.75" thickBot="1" x14ac:dyDescent="0.3">
      <c r="B3" s="4"/>
      <c r="M3" s="280" t="s">
        <v>179</v>
      </c>
      <c r="N3" s="281"/>
      <c r="O3" s="282"/>
    </row>
    <row r="4" spans="1:16" ht="15.75" thickBot="1" x14ac:dyDescent="0.3">
      <c r="B4" s="4"/>
      <c r="M4" s="67" t="s">
        <v>180</v>
      </c>
      <c r="N4" s="68" t="s">
        <v>181</v>
      </c>
      <c r="O4" s="69" t="s">
        <v>182</v>
      </c>
    </row>
    <row r="5" spans="1:16" ht="15.75" x14ac:dyDescent="0.25">
      <c r="A5" s="3"/>
      <c r="B5" s="4"/>
      <c r="M5" s="70" t="s">
        <v>183</v>
      </c>
      <c r="N5" s="71"/>
      <c r="O5" s="72"/>
    </row>
    <row r="6" spans="1:16" ht="16.5" thickBot="1" x14ac:dyDescent="0.3">
      <c r="A6" s="3" t="s">
        <v>27</v>
      </c>
      <c r="B6" s="4"/>
      <c r="M6" s="73" t="s">
        <v>184</v>
      </c>
      <c r="N6" s="74"/>
      <c r="O6" s="75"/>
      <c r="P6" t="s">
        <v>214</v>
      </c>
    </row>
    <row r="7" spans="1:16" x14ac:dyDescent="0.2">
      <c r="B7" s="4"/>
      <c r="C7" s="5" t="s">
        <v>111</v>
      </c>
      <c r="D7" s="7" t="s">
        <v>112</v>
      </c>
      <c r="P7" t="s">
        <v>112</v>
      </c>
    </row>
    <row r="8" spans="1:16" x14ac:dyDescent="0.2">
      <c r="B8" s="4"/>
      <c r="C8" s="5" t="s">
        <v>102</v>
      </c>
      <c r="D8" s="7"/>
      <c r="E8" s="6" t="s">
        <v>6</v>
      </c>
      <c r="F8" s="5" t="s">
        <v>267</v>
      </c>
      <c r="G8" s="234"/>
      <c r="H8" t="s">
        <v>287</v>
      </c>
      <c r="P8" t="s">
        <v>113</v>
      </c>
    </row>
    <row r="9" spans="1:16" x14ac:dyDescent="0.2">
      <c r="B9" s="4"/>
      <c r="C9" s="5" t="s">
        <v>198</v>
      </c>
      <c r="D9" s="277" t="str">
        <f>IF(D8="","N/A",IF(D7="I",VLOOKUP(D8,'Mast Arm Geometry Tables'!$A$4:$E$10,5,0),IF(D7="II",VLOOKUP(D8,'Mast Arm Geometry Tables'!$H$4:$L$10,5,0),IF(D7="III",VLOOKUP(D8,'Mast Arm Geometry Tables'!$N$4:$R$10,5,0),"NG"))))</f>
        <v>N/A</v>
      </c>
      <c r="E9" s="277"/>
      <c r="F9" s="277"/>
      <c r="P9" t="s">
        <v>114</v>
      </c>
    </row>
    <row r="10" spans="1:16" x14ac:dyDescent="0.2">
      <c r="B10" s="4"/>
      <c r="C10" s="5" t="s">
        <v>199</v>
      </c>
      <c r="D10" s="277" t="str">
        <f>IF(D7="I",IF(D8&lt;35,"N/A",VLOOKUP(D8,'Mast Arm Geometry Tables'!$A$14:$E$17,5,0)),IF(D7="II",IF(D8&lt;35,"N/A",VLOOKUP(D8,'Mast Arm Geometry Tables'!$H$14:$L$17,5,0)),IF(D7="III",IF(D8&lt;45,"N/A",VLOOKUP(D8,'Mast Arm Geometry Tables'!$N$14:$R$15,5,0)),"CHECK MEMBER LENGTH")))</f>
        <v>N/A</v>
      </c>
      <c r="E10" s="277"/>
      <c r="F10" s="277"/>
      <c r="G10" s="22"/>
    </row>
    <row r="11" spans="1:16" ht="13.15" customHeight="1" x14ac:dyDescent="0.2"/>
    <row r="12" spans="1:16" ht="38.25" x14ac:dyDescent="0.2">
      <c r="A12" s="14"/>
      <c r="B12" s="9" t="s">
        <v>270</v>
      </c>
      <c r="C12" s="9" t="s">
        <v>330</v>
      </c>
      <c r="D12" s="9" t="s">
        <v>18</v>
      </c>
      <c r="E12" s="9" t="s">
        <v>20</v>
      </c>
      <c r="F12" s="9" t="s">
        <v>19</v>
      </c>
      <c r="G12" s="9" t="s">
        <v>18</v>
      </c>
      <c r="H12" s="9" t="s">
        <v>215</v>
      </c>
      <c r="I12" s="9" t="s">
        <v>224</v>
      </c>
      <c r="J12" s="9" t="s">
        <v>216</v>
      </c>
      <c r="K12" s="9" t="s">
        <v>217</v>
      </c>
    </row>
    <row r="13" spans="1:16" ht="13.15" customHeight="1" x14ac:dyDescent="0.2">
      <c r="A13" t="s">
        <v>75</v>
      </c>
      <c r="B13" s="95"/>
      <c r="C13" s="49"/>
      <c r="D13" s="238"/>
      <c r="E13" s="41"/>
      <c r="F13" s="41"/>
      <c r="G13" s="17"/>
      <c r="H13" s="41"/>
      <c r="I13" s="41"/>
      <c r="J13" s="41"/>
      <c r="K13" s="41"/>
    </row>
    <row r="14" spans="1:16" ht="13.15" customHeight="1" x14ac:dyDescent="0.2">
      <c r="A14" t="s">
        <v>76</v>
      </c>
      <c r="B14" s="95"/>
      <c r="C14" s="49"/>
      <c r="D14" s="238"/>
      <c r="E14" s="41"/>
      <c r="F14" s="41"/>
      <c r="G14" s="17"/>
      <c r="H14" s="41"/>
      <c r="I14" s="41"/>
      <c r="J14" s="41"/>
      <c r="K14" s="41"/>
    </row>
    <row r="15" spans="1:16" x14ac:dyDescent="0.2">
      <c r="A15" t="s">
        <v>77</v>
      </c>
      <c r="B15" s="95"/>
      <c r="C15" s="49"/>
      <c r="D15" s="238"/>
      <c r="E15" s="41"/>
      <c r="F15" s="41"/>
      <c r="G15" s="17"/>
      <c r="H15" s="41"/>
      <c r="I15" s="41"/>
      <c r="J15" s="41"/>
      <c r="K15" s="41"/>
    </row>
    <row r="16" spans="1:16" x14ac:dyDescent="0.2">
      <c r="A16" t="s">
        <v>78</v>
      </c>
      <c r="B16" s="95"/>
      <c r="C16" s="49"/>
      <c r="D16" s="238"/>
      <c r="E16" s="41"/>
      <c r="F16" s="41"/>
      <c r="G16" s="17"/>
      <c r="H16" s="41"/>
      <c r="I16" s="41"/>
      <c r="J16" s="41"/>
      <c r="K16" s="41"/>
    </row>
    <row r="17" spans="1:17" ht="13.15" customHeight="1" x14ac:dyDescent="0.2">
      <c r="A17" t="s">
        <v>79</v>
      </c>
      <c r="B17" s="95"/>
      <c r="C17" s="49"/>
      <c r="D17" s="238"/>
      <c r="E17" s="41"/>
      <c r="F17" s="41"/>
      <c r="G17" s="17"/>
      <c r="H17" s="41"/>
      <c r="I17" s="41"/>
      <c r="J17" s="41"/>
      <c r="K17" s="41"/>
    </row>
    <row r="18" spans="1:17" s="14" customFormat="1" x14ac:dyDescent="0.2">
      <c r="A18" t="s">
        <v>80</v>
      </c>
      <c r="B18" s="95"/>
      <c r="C18" s="49"/>
      <c r="D18" s="238"/>
      <c r="E18" s="41"/>
      <c r="F18" s="41"/>
      <c r="G18" s="239"/>
      <c r="H18" s="41"/>
      <c r="I18" s="41"/>
      <c r="J18" s="41"/>
      <c r="K18" s="41"/>
    </row>
    <row r="19" spans="1:17" ht="13.15" customHeight="1" x14ac:dyDescent="0.2">
      <c r="A19" t="s">
        <v>81</v>
      </c>
      <c r="B19" s="95"/>
      <c r="C19" s="49"/>
      <c r="D19" s="238"/>
      <c r="E19" s="41"/>
      <c r="F19" s="41"/>
      <c r="G19" s="17"/>
      <c r="H19" s="41"/>
      <c r="I19" s="41"/>
      <c r="J19" s="41"/>
      <c r="K19" s="41"/>
    </row>
    <row r="20" spans="1:17" ht="13.15" customHeight="1" x14ac:dyDescent="0.2">
      <c r="A20" t="s">
        <v>82</v>
      </c>
      <c r="B20" s="95"/>
      <c r="C20" s="49"/>
      <c r="D20" s="238"/>
      <c r="E20" s="41"/>
      <c r="F20" s="41"/>
      <c r="G20" s="17"/>
      <c r="H20" s="41"/>
      <c r="I20" s="41"/>
      <c r="J20" s="41"/>
      <c r="K20" s="41"/>
    </row>
    <row r="21" spans="1:17" ht="13.15" customHeight="1" x14ac:dyDescent="0.2">
      <c r="A21" t="s">
        <v>83</v>
      </c>
      <c r="B21" s="95"/>
      <c r="C21" s="49"/>
      <c r="D21" s="238"/>
      <c r="E21" s="41"/>
      <c r="F21" s="41"/>
      <c r="G21" s="17"/>
      <c r="H21" s="41"/>
      <c r="I21" s="41"/>
      <c r="J21" s="41"/>
      <c r="K21" s="41"/>
    </row>
    <row r="22" spans="1:17" x14ac:dyDescent="0.2">
      <c r="A22" t="s">
        <v>84</v>
      </c>
      <c r="B22" s="95"/>
      <c r="C22" s="49"/>
      <c r="D22" s="238"/>
      <c r="E22" s="41"/>
      <c r="F22" s="41"/>
      <c r="G22" s="17"/>
      <c r="H22" s="41"/>
      <c r="I22" s="41"/>
      <c r="J22" s="41"/>
      <c r="K22" s="41"/>
    </row>
    <row r="23" spans="1:17" x14ac:dyDescent="0.2">
      <c r="A23" s="15"/>
      <c r="B23" t="s">
        <v>288</v>
      </c>
      <c r="D23" s="15"/>
      <c r="E23" s="15"/>
    </row>
    <row r="24" spans="1:17" x14ac:dyDescent="0.2">
      <c r="A24" s="15"/>
      <c r="D24" s="15"/>
      <c r="E24" s="15"/>
      <c r="L24"/>
      <c r="M24" s="21"/>
      <c r="N24" s="21"/>
    </row>
    <row r="25" spans="1:17" x14ac:dyDescent="0.2">
      <c r="P25" s="21"/>
      <c r="Q25" s="21"/>
    </row>
    <row r="26" spans="1:17" x14ac:dyDescent="0.2">
      <c r="P26" s="21"/>
      <c r="Q26" s="21"/>
    </row>
    <row r="27" spans="1:17" x14ac:dyDescent="0.2">
      <c r="P27" s="21"/>
      <c r="Q27" s="21"/>
    </row>
    <row r="28" spans="1:17" x14ac:dyDescent="0.2">
      <c r="P28" s="21"/>
      <c r="Q28" s="21"/>
    </row>
    <row r="29" spans="1:17" x14ac:dyDescent="0.2">
      <c r="P29" s="21"/>
      <c r="Q29" s="21"/>
    </row>
    <row r="30" spans="1:17" x14ac:dyDescent="0.2">
      <c r="P30" s="21"/>
      <c r="Q30" s="21"/>
    </row>
    <row r="31" spans="1:17" x14ac:dyDescent="0.2">
      <c r="P31" s="21"/>
      <c r="Q31" s="21"/>
    </row>
    <row r="32" spans="1:17" x14ac:dyDescent="0.2">
      <c r="P32" s="21"/>
      <c r="Q32" s="21"/>
    </row>
    <row r="33" spans="1:17" x14ac:dyDescent="0.2">
      <c r="P33" s="21"/>
      <c r="Q33" s="21"/>
    </row>
    <row r="34" spans="1:17" x14ac:dyDescent="0.2">
      <c r="P34" s="21"/>
      <c r="Q34" s="21"/>
    </row>
    <row r="35" spans="1:17" x14ac:dyDescent="0.2">
      <c r="P35" s="21"/>
      <c r="Q35" s="21"/>
    </row>
    <row r="36" spans="1:17" x14ac:dyDescent="0.2">
      <c r="P36" s="21"/>
      <c r="Q36" s="21"/>
    </row>
    <row r="37" spans="1:17" x14ac:dyDescent="0.2">
      <c r="A37" s="15"/>
      <c r="B37" s="17"/>
      <c r="D37" s="15"/>
      <c r="E37" s="15"/>
      <c r="L37"/>
      <c r="M37" s="21"/>
      <c r="N37" s="21"/>
    </row>
    <row r="38" spans="1:17" x14ac:dyDescent="0.2">
      <c r="A38" s="15"/>
      <c r="B38" s="17"/>
      <c r="D38" s="15"/>
      <c r="E38" s="15"/>
      <c r="L38"/>
      <c r="M38" s="21"/>
      <c r="N38" s="21"/>
    </row>
    <row r="39" spans="1:17" x14ac:dyDescent="0.2">
      <c r="A39" s="15"/>
      <c r="B39" s="17"/>
      <c r="D39" s="15"/>
      <c r="E39" s="15"/>
      <c r="L39"/>
      <c r="M39" s="21"/>
      <c r="N39" s="21"/>
    </row>
    <row r="40" spans="1:17" x14ac:dyDescent="0.2">
      <c r="A40" s="15"/>
      <c r="B40" s="17"/>
      <c r="D40" s="15"/>
      <c r="E40" s="15"/>
      <c r="L40"/>
      <c r="M40" s="21"/>
      <c r="N40" s="21"/>
    </row>
    <row r="41" spans="1:17" x14ac:dyDescent="0.2">
      <c r="A41" s="15"/>
      <c r="B41" s="17"/>
      <c r="D41" s="15"/>
      <c r="E41" s="15"/>
      <c r="L41"/>
      <c r="M41" s="21"/>
      <c r="N41" s="21"/>
    </row>
    <row r="42" spans="1:17" x14ac:dyDescent="0.2">
      <c r="A42" s="15"/>
      <c r="B42" s="17"/>
      <c r="D42" s="15"/>
      <c r="E42" s="15"/>
      <c r="L42"/>
      <c r="M42" s="21"/>
      <c r="N42" s="21"/>
    </row>
    <row r="43" spans="1:17" x14ac:dyDescent="0.2">
      <c r="A43" s="15"/>
      <c r="B43" s="17"/>
      <c r="D43" s="15"/>
      <c r="E43" s="15"/>
      <c r="L43"/>
      <c r="M43" s="21"/>
      <c r="N43" s="21"/>
    </row>
    <row r="44" spans="1:17" x14ac:dyDescent="0.2">
      <c r="A44" s="15"/>
      <c r="B44" s="17"/>
      <c r="D44" s="15"/>
      <c r="E44" s="15"/>
      <c r="L44"/>
      <c r="M44" s="21"/>
      <c r="N44" s="21"/>
    </row>
    <row r="49" spans="1:71" x14ac:dyDescent="0.2">
      <c r="A49" s="15"/>
      <c r="B49" s="17"/>
      <c r="D49" s="15"/>
      <c r="E49" s="15"/>
      <c r="L49"/>
      <c r="M49" s="21"/>
      <c r="N49" s="21"/>
    </row>
    <row r="50" spans="1:71" ht="52.5" x14ac:dyDescent="0.3">
      <c r="A50" s="15"/>
      <c r="B50" s="9" t="s">
        <v>268</v>
      </c>
      <c r="C50" s="9" t="s">
        <v>17</v>
      </c>
      <c r="D50" s="9" t="s">
        <v>218</v>
      </c>
      <c r="E50" s="9" t="s">
        <v>272</v>
      </c>
      <c r="F50" s="9" t="s">
        <v>173</v>
      </c>
      <c r="G50" s="9" t="s">
        <v>174</v>
      </c>
      <c r="H50" s="9" t="s">
        <v>219</v>
      </c>
      <c r="I50" s="9" t="s">
        <v>175</v>
      </c>
      <c r="J50" s="9" t="s">
        <v>176</v>
      </c>
      <c r="K50" s="9" t="s">
        <v>220</v>
      </c>
      <c r="L50" s="9" t="s">
        <v>177</v>
      </c>
      <c r="M50" s="9" t="s">
        <v>221</v>
      </c>
      <c r="N50" s="9" t="s">
        <v>178</v>
      </c>
      <c r="O50" s="9" t="s">
        <v>222</v>
      </c>
    </row>
    <row r="51" spans="1:71" x14ac:dyDescent="0.2">
      <c r="A51" t="s">
        <v>75</v>
      </c>
      <c r="B51" s="44">
        <f>IF($C13="",0,VLOOKUP($C13,'Equipment Wt &amp; Ht'!$A$2:$J$222,5,0))</f>
        <v>0</v>
      </c>
      <c r="C51" s="59">
        <f t="shared" ref="C51:C60" si="0">(F13*E13)/144*4</f>
        <v>0</v>
      </c>
      <c r="D51" s="59">
        <f t="shared" ref="D51:D60" si="1">IF(H13="",0,H13)</f>
        <v>0</v>
      </c>
      <c r="E51" s="44">
        <f t="shared" ref="E51:E60" si="2">SUM(B51:D51)*B13</f>
        <v>0</v>
      </c>
      <c r="F51" s="162">
        <f>IF(C13="",0,VLOOKUP(C13,'Equipment Wt &amp; Ht'!$A$2:$J$222,6,0))</f>
        <v>0</v>
      </c>
      <c r="G51" s="62">
        <f t="shared" ref="G51:G60" si="3">F13*E13/144</f>
        <v>0</v>
      </c>
      <c r="H51" s="45">
        <f t="shared" ref="H51:H60" si="4">J13*I13/144</f>
        <v>0</v>
      </c>
      <c r="I51" s="44">
        <f t="shared" ref="I51:I60" si="5">F51*B13</f>
        <v>0</v>
      </c>
      <c r="J51" s="62">
        <f t="shared" ref="J51:J60" si="6">G51*B13</f>
        <v>0</v>
      </c>
      <c r="K51" s="62">
        <f t="shared" ref="K51:K60" si="7">H51*B13</f>
        <v>0</v>
      </c>
      <c r="L51" s="44">
        <f>IF(C13="",0,VLOOKUP(C13,'Equipment Wt &amp; Ht'!$A$2:$L$222,8,0))</f>
        <v>0</v>
      </c>
      <c r="M51" s="62">
        <f t="shared" ref="M51:M60" si="8">(J13*K13)/144</f>
        <v>0</v>
      </c>
      <c r="N51" s="44">
        <f t="shared" ref="N51:N60" si="9">L51*B13</f>
        <v>0</v>
      </c>
      <c r="O51" s="45">
        <f t="shared" ref="O51:O60" si="10">M51*B13</f>
        <v>0</v>
      </c>
    </row>
    <row r="52" spans="1:71" x14ac:dyDescent="0.2">
      <c r="A52" t="s">
        <v>76</v>
      </c>
      <c r="B52" s="46">
        <f>IF($C14="",0,VLOOKUP($C14,'Equipment Wt &amp; Ht'!$A$2:$J$222,5,0))</f>
        <v>0</v>
      </c>
      <c r="C52" s="60">
        <f t="shared" si="0"/>
        <v>0</v>
      </c>
      <c r="D52" s="60">
        <f t="shared" si="1"/>
        <v>0</v>
      </c>
      <c r="E52" s="46">
        <f t="shared" si="2"/>
        <v>0</v>
      </c>
      <c r="F52" s="163">
        <f>IF(C14="",0,VLOOKUP(C14,'Equipment Wt &amp; Ht'!$A$2:$J$222,6,0))</f>
        <v>0</v>
      </c>
      <c r="G52" s="61">
        <f t="shared" si="3"/>
        <v>0</v>
      </c>
      <c r="H52" s="47">
        <f t="shared" si="4"/>
        <v>0</v>
      </c>
      <c r="I52" s="46">
        <f t="shared" si="5"/>
        <v>0</v>
      </c>
      <c r="J52" s="61">
        <f t="shared" si="6"/>
        <v>0</v>
      </c>
      <c r="K52" s="61">
        <f t="shared" si="7"/>
        <v>0</v>
      </c>
      <c r="L52" s="46">
        <f>IF(C14="",0,VLOOKUP(C14,'Equipment Wt &amp; Ht'!$A$2:$L$222,8,0))</f>
        <v>0</v>
      </c>
      <c r="M52" s="61">
        <f t="shared" si="8"/>
        <v>0</v>
      </c>
      <c r="N52" s="46">
        <f t="shared" si="9"/>
        <v>0</v>
      </c>
      <c r="O52" s="47">
        <f t="shared" si="10"/>
        <v>0</v>
      </c>
    </row>
    <row r="53" spans="1:71" x14ac:dyDescent="0.2">
      <c r="A53" t="s">
        <v>77</v>
      </c>
      <c r="B53" s="46">
        <f>IF($C15="",0,VLOOKUP($C15,'Equipment Wt &amp; Ht'!$A$2:$J$222,5,0))</f>
        <v>0</v>
      </c>
      <c r="C53" s="60">
        <f t="shared" si="0"/>
        <v>0</v>
      </c>
      <c r="D53" s="60">
        <f t="shared" si="1"/>
        <v>0</v>
      </c>
      <c r="E53" s="46">
        <f t="shared" si="2"/>
        <v>0</v>
      </c>
      <c r="F53" s="163">
        <f>IF(C15="",0,VLOOKUP(C15,'Equipment Wt &amp; Ht'!$A$2:$J$222,6,0))</f>
        <v>0</v>
      </c>
      <c r="G53" s="61">
        <f t="shared" si="3"/>
        <v>0</v>
      </c>
      <c r="H53" s="47">
        <f t="shared" si="4"/>
        <v>0</v>
      </c>
      <c r="I53" s="46">
        <f t="shared" si="5"/>
        <v>0</v>
      </c>
      <c r="J53" s="61">
        <f t="shared" si="6"/>
        <v>0</v>
      </c>
      <c r="K53" s="61">
        <f t="shared" si="7"/>
        <v>0</v>
      </c>
      <c r="L53" s="46">
        <f>IF(C15="",0,VLOOKUP(C15,'Equipment Wt &amp; Ht'!$A$2:$L$222,8,0))</f>
        <v>0</v>
      </c>
      <c r="M53" s="61">
        <f t="shared" si="8"/>
        <v>0</v>
      </c>
      <c r="N53" s="46">
        <f t="shared" si="9"/>
        <v>0</v>
      </c>
      <c r="O53" s="47">
        <f t="shared" si="10"/>
        <v>0</v>
      </c>
    </row>
    <row r="54" spans="1:71" x14ac:dyDescent="0.2">
      <c r="A54" t="s">
        <v>78</v>
      </c>
      <c r="B54" s="46">
        <f>IF($C16="",0,VLOOKUP($C16,'Equipment Wt &amp; Ht'!$A$2:$J$222,5,0))</f>
        <v>0</v>
      </c>
      <c r="C54" s="60">
        <f t="shared" si="0"/>
        <v>0</v>
      </c>
      <c r="D54" s="60">
        <f t="shared" si="1"/>
        <v>0</v>
      </c>
      <c r="E54" s="46">
        <f t="shared" si="2"/>
        <v>0</v>
      </c>
      <c r="F54" s="163">
        <f>IF(C16="",0,VLOOKUP(C16,'Equipment Wt &amp; Ht'!$A$2:$J$222,6,0))</f>
        <v>0</v>
      </c>
      <c r="G54" s="61">
        <f t="shared" si="3"/>
        <v>0</v>
      </c>
      <c r="H54" s="47">
        <f t="shared" si="4"/>
        <v>0</v>
      </c>
      <c r="I54" s="46">
        <f t="shared" si="5"/>
        <v>0</v>
      </c>
      <c r="J54" s="61">
        <f t="shared" si="6"/>
        <v>0</v>
      </c>
      <c r="K54" s="61">
        <f t="shared" si="7"/>
        <v>0</v>
      </c>
      <c r="L54" s="46">
        <f>IF(C16="",0,VLOOKUP(C16,'Equipment Wt &amp; Ht'!$A$2:$L$222,8,0))</f>
        <v>0</v>
      </c>
      <c r="M54" s="61">
        <f t="shared" si="8"/>
        <v>0</v>
      </c>
      <c r="N54" s="46">
        <f t="shared" si="9"/>
        <v>0</v>
      </c>
      <c r="O54" s="47">
        <f t="shared" si="10"/>
        <v>0</v>
      </c>
    </row>
    <row r="55" spans="1:71" x14ac:dyDescent="0.2">
      <c r="A55" t="s">
        <v>79</v>
      </c>
      <c r="B55" s="46">
        <f>IF($C17="",0,VLOOKUP($C17,'Equipment Wt &amp; Ht'!$A$2:$J$222,5,0))</f>
        <v>0</v>
      </c>
      <c r="C55" s="60">
        <f t="shared" si="0"/>
        <v>0</v>
      </c>
      <c r="D55" s="60">
        <f t="shared" si="1"/>
        <v>0</v>
      </c>
      <c r="E55" s="46">
        <f t="shared" si="2"/>
        <v>0</v>
      </c>
      <c r="F55" s="163">
        <f>IF(C17="",0,VLOOKUP(C17,'Equipment Wt &amp; Ht'!$A$2:$J$222,6,0))</f>
        <v>0</v>
      </c>
      <c r="G55" s="61">
        <f t="shared" si="3"/>
        <v>0</v>
      </c>
      <c r="H55" s="47">
        <f t="shared" si="4"/>
        <v>0</v>
      </c>
      <c r="I55" s="46">
        <f t="shared" si="5"/>
        <v>0</v>
      </c>
      <c r="J55" s="61">
        <f t="shared" si="6"/>
        <v>0</v>
      </c>
      <c r="K55" s="61">
        <f t="shared" si="7"/>
        <v>0</v>
      </c>
      <c r="L55" s="46">
        <f>IF(C17="",0,VLOOKUP(C17,'Equipment Wt &amp; Ht'!$A$2:$L$222,8,0))</f>
        <v>0</v>
      </c>
      <c r="M55" s="61">
        <f t="shared" si="8"/>
        <v>0</v>
      </c>
      <c r="N55" s="46">
        <f t="shared" si="9"/>
        <v>0</v>
      </c>
      <c r="O55" s="47">
        <f t="shared" si="10"/>
        <v>0</v>
      </c>
    </row>
    <row r="56" spans="1:71" x14ac:dyDescent="0.2">
      <c r="A56" t="s">
        <v>80</v>
      </c>
      <c r="B56" s="46">
        <f>IF($C18="",0,VLOOKUP($C18,'Equipment Wt &amp; Ht'!$A$2:$J$222,5,0))</f>
        <v>0</v>
      </c>
      <c r="C56" s="60">
        <f t="shared" si="0"/>
        <v>0</v>
      </c>
      <c r="D56" s="60">
        <f t="shared" si="1"/>
        <v>0</v>
      </c>
      <c r="E56" s="46">
        <f t="shared" si="2"/>
        <v>0</v>
      </c>
      <c r="F56" s="163">
        <f>IF(C18="",0,VLOOKUP(C18,'Equipment Wt &amp; Ht'!$A$2:$J$222,6,0))</f>
        <v>0</v>
      </c>
      <c r="G56" s="61">
        <f t="shared" si="3"/>
        <v>0</v>
      </c>
      <c r="H56" s="47">
        <f>J18*I18/144</f>
        <v>0</v>
      </c>
      <c r="I56" s="46">
        <f t="shared" si="5"/>
        <v>0</v>
      </c>
      <c r="J56" s="61">
        <f t="shared" si="6"/>
        <v>0</v>
      </c>
      <c r="K56" s="61">
        <f t="shared" si="7"/>
        <v>0</v>
      </c>
      <c r="L56" s="46">
        <f>IF(C18="",0,VLOOKUP(C18,'Equipment Wt &amp; Ht'!$A$2:$L$222,8,0))</f>
        <v>0</v>
      </c>
      <c r="M56" s="61">
        <f t="shared" si="8"/>
        <v>0</v>
      </c>
      <c r="N56" s="46">
        <f t="shared" si="9"/>
        <v>0</v>
      </c>
      <c r="O56" s="47">
        <f t="shared" si="10"/>
        <v>0</v>
      </c>
    </row>
    <row r="57" spans="1:71" x14ac:dyDescent="0.2">
      <c r="A57" t="s">
        <v>81</v>
      </c>
      <c r="B57" s="46">
        <f>IF($C19="",0,VLOOKUP($C19,'Equipment Wt &amp; Ht'!$A$2:$J$222,5,0))</f>
        <v>0</v>
      </c>
      <c r="C57" s="60">
        <f t="shared" si="0"/>
        <v>0</v>
      </c>
      <c r="D57" s="60">
        <f t="shared" si="1"/>
        <v>0</v>
      </c>
      <c r="E57" s="46">
        <f t="shared" si="2"/>
        <v>0</v>
      </c>
      <c r="F57" s="163">
        <f>IF(C19="",0,VLOOKUP(C19,'Equipment Wt &amp; Ht'!$A$2:$J$222,6,0))</f>
        <v>0</v>
      </c>
      <c r="G57" s="61">
        <f t="shared" si="3"/>
        <v>0</v>
      </c>
      <c r="H57" s="47">
        <f t="shared" si="4"/>
        <v>0</v>
      </c>
      <c r="I57" s="46">
        <f t="shared" si="5"/>
        <v>0</v>
      </c>
      <c r="J57" s="61">
        <f t="shared" si="6"/>
        <v>0</v>
      </c>
      <c r="K57" s="61">
        <f t="shared" si="7"/>
        <v>0</v>
      </c>
      <c r="L57" s="46">
        <f>IF(C19="",0,VLOOKUP(C19,'Equipment Wt &amp; Ht'!$A$2:$L$222,8,0))</f>
        <v>0</v>
      </c>
      <c r="M57" s="61">
        <f t="shared" si="8"/>
        <v>0</v>
      </c>
      <c r="N57" s="46">
        <f t="shared" si="9"/>
        <v>0</v>
      </c>
      <c r="O57" s="47">
        <f t="shared" si="10"/>
        <v>0</v>
      </c>
    </row>
    <row r="58" spans="1:71" x14ac:dyDescent="0.2">
      <c r="A58" t="s">
        <v>82</v>
      </c>
      <c r="B58" s="46">
        <f>IF($C20="",0,VLOOKUP($C20,'Equipment Wt &amp; Ht'!$A$2:$J$222,5,0))</f>
        <v>0</v>
      </c>
      <c r="C58" s="60">
        <f t="shared" si="0"/>
        <v>0</v>
      </c>
      <c r="D58" s="60">
        <f t="shared" si="1"/>
        <v>0</v>
      </c>
      <c r="E58" s="46">
        <f t="shared" si="2"/>
        <v>0</v>
      </c>
      <c r="F58" s="163">
        <f>IF(C20="",0,VLOOKUP(C20,'Equipment Wt &amp; Ht'!$A$2:$J$222,6,0))</f>
        <v>0</v>
      </c>
      <c r="G58" s="61">
        <f t="shared" si="3"/>
        <v>0</v>
      </c>
      <c r="H58" s="47">
        <f>J20*I20/144</f>
        <v>0</v>
      </c>
      <c r="I58" s="46">
        <f t="shared" si="5"/>
        <v>0</v>
      </c>
      <c r="J58" s="61">
        <f t="shared" si="6"/>
        <v>0</v>
      </c>
      <c r="K58" s="61">
        <f t="shared" si="7"/>
        <v>0</v>
      </c>
      <c r="L58" s="46">
        <f>IF(C20="",0,VLOOKUP(C20,'Equipment Wt &amp; Ht'!$A$2:$L$222,8,0))</f>
        <v>0</v>
      </c>
      <c r="M58" s="61">
        <f>(J20*K20)/144</f>
        <v>0</v>
      </c>
      <c r="N58" s="46">
        <f t="shared" si="9"/>
        <v>0</v>
      </c>
      <c r="O58" s="47">
        <f t="shared" si="10"/>
        <v>0</v>
      </c>
    </row>
    <row r="59" spans="1:71" x14ac:dyDescent="0.2">
      <c r="A59" t="s">
        <v>83</v>
      </c>
      <c r="B59" s="46">
        <f>IF($C21="",0,VLOOKUP($C21,'Equipment Wt &amp; Ht'!$A$2:$J$222,5,0))</f>
        <v>0</v>
      </c>
      <c r="C59" s="60">
        <f t="shared" si="0"/>
        <v>0</v>
      </c>
      <c r="D59" s="60">
        <f t="shared" si="1"/>
        <v>0</v>
      </c>
      <c r="E59" s="46">
        <f t="shared" si="2"/>
        <v>0</v>
      </c>
      <c r="F59" s="46">
        <f>IF(C21="",0,VLOOKUP(C21,'Equipment Wt &amp; Ht'!$A$2:$J$222,6,0))</f>
        <v>0</v>
      </c>
      <c r="G59" s="61">
        <f t="shared" si="3"/>
        <v>0</v>
      </c>
      <c r="H59" s="47">
        <f t="shared" si="4"/>
        <v>0</v>
      </c>
      <c r="I59" s="46">
        <f t="shared" si="5"/>
        <v>0</v>
      </c>
      <c r="J59" s="61">
        <f t="shared" si="6"/>
        <v>0</v>
      </c>
      <c r="K59" s="61">
        <f t="shared" si="7"/>
        <v>0</v>
      </c>
      <c r="L59" s="46">
        <f>IF(C21="",0,VLOOKUP(C21,'Equipment Wt &amp; Ht'!$A$2:$L$222,8,0))</f>
        <v>0</v>
      </c>
      <c r="M59" s="61">
        <f t="shared" si="8"/>
        <v>0</v>
      </c>
      <c r="N59" s="46">
        <f t="shared" si="9"/>
        <v>0</v>
      </c>
      <c r="O59" s="47">
        <f t="shared" si="10"/>
        <v>0</v>
      </c>
    </row>
    <row r="60" spans="1:71" x14ac:dyDescent="0.2">
      <c r="A60" t="s">
        <v>84</v>
      </c>
      <c r="B60" s="57">
        <f>IF($C22="",0,VLOOKUP($C22,'Equipment Wt &amp; Ht'!$A$2:$J$222,5,0))</f>
        <v>0</v>
      </c>
      <c r="C60" s="63">
        <f t="shared" si="0"/>
        <v>0</v>
      </c>
      <c r="D60" s="63">
        <f t="shared" si="1"/>
        <v>0</v>
      </c>
      <c r="E60" s="57">
        <f t="shared" si="2"/>
        <v>0</v>
      </c>
      <c r="F60" s="57">
        <f>IF(C22="",0,VLOOKUP(C22,'Equipment Wt &amp; Ht'!$A$2:$J$222,6,0))</f>
        <v>0</v>
      </c>
      <c r="G60" s="64">
        <f t="shared" si="3"/>
        <v>0</v>
      </c>
      <c r="H60" s="58">
        <f t="shared" si="4"/>
        <v>0</v>
      </c>
      <c r="I60" s="46">
        <f t="shared" si="5"/>
        <v>0</v>
      </c>
      <c r="J60" s="61">
        <f t="shared" si="6"/>
        <v>0</v>
      </c>
      <c r="K60" s="61">
        <f t="shared" si="7"/>
        <v>0</v>
      </c>
      <c r="L60" s="57">
        <f>IF(C22="",0,VLOOKUP(C22,'Equipment Wt &amp; Ht'!$A$2:$L$222,8,0))</f>
        <v>0</v>
      </c>
      <c r="M60" s="64">
        <f t="shared" si="8"/>
        <v>0</v>
      </c>
      <c r="N60" s="57">
        <f t="shared" si="9"/>
        <v>0</v>
      </c>
      <c r="O60" s="58">
        <f t="shared" si="10"/>
        <v>0</v>
      </c>
    </row>
    <row r="61" spans="1:71" x14ac:dyDescent="0.2">
      <c r="A61" s="5" t="s">
        <v>130</v>
      </c>
      <c r="B61" s="272">
        <f>SUM(B51:D60)</f>
        <v>0</v>
      </c>
      <c r="C61" s="273"/>
      <c r="D61" s="274"/>
      <c r="E61" s="48">
        <f>SUM(E51:E60)</f>
        <v>0</v>
      </c>
      <c r="F61" s="275">
        <f>SUM(F51:H60)</f>
        <v>0</v>
      </c>
      <c r="G61" s="276"/>
      <c r="H61" s="276"/>
      <c r="I61" s="272">
        <f>SUM(I51:K60)</f>
        <v>0</v>
      </c>
      <c r="J61" s="273"/>
      <c r="K61" s="274"/>
      <c r="L61" s="272">
        <f>SUM(L51:M60)</f>
        <v>0</v>
      </c>
      <c r="M61" s="274"/>
      <c r="N61" s="272">
        <f>SUM(N51:O60)</f>
        <v>0</v>
      </c>
      <c r="O61" s="274"/>
    </row>
    <row r="63" spans="1:71" ht="13.5" thickBot="1" x14ac:dyDescent="0.25"/>
    <row r="64" spans="1:71" ht="15.75" x14ac:dyDescent="0.3">
      <c r="F64" s="265" t="s">
        <v>322</v>
      </c>
      <c r="G64" s="266"/>
      <c r="H64" s="266"/>
      <c r="I64" s="266"/>
      <c r="J64" s="266"/>
      <c r="K64" s="266"/>
      <c r="L64" s="266"/>
      <c r="M64" s="266"/>
      <c r="N64" s="266"/>
      <c r="O64" s="266"/>
      <c r="P64" s="268"/>
      <c r="Q64" s="265" t="s">
        <v>323</v>
      </c>
      <c r="R64" s="266"/>
      <c r="S64" s="266"/>
      <c r="T64" s="266"/>
      <c r="U64" s="266"/>
      <c r="V64" s="266"/>
      <c r="W64" s="266"/>
      <c r="X64" s="266"/>
      <c r="Y64" s="266"/>
      <c r="Z64" s="266"/>
      <c r="AA64" s="267"/>
      <c r="AB64" s="271" t="s">
        <v>324</v>
      </c>
      <c r="AC64" s="266"/>
      <c r="AD64" s="266"/>
      <c r="AE64" s="266"/>
      <c r="AF64" s="266"/>
      <c r="AG64" s="266"/>
      <c r="AH64" s="266"/>
      <c r="AI64" s="266"/>
      <c r="AJ64" s="266"/>
      <c r="AK64" s="266"/>
      <c r="AL64" s="268"/>
      <c r="AM64" s="265" t="s">
        <v>325</v>
      </c>
      <c r="AN64" s="266"/>
      <c r="AO64" s="266"/>
      <c r="AP64" s="266"/>
      <c r="AQ64" s="266"/>
      <c r="AR64" s="266"/>
      <c r="AS64" s="266"/>
      <c r="AT64" s="266"/>
      <c r="AU64" s="266"/>
      <c r="AV64" s="266"/>
      <c r="AW64" s="267"/>
      <c r="AX64" s="271" t="s">
        <v>326</v>
      </c>
      <c r="AY64" s="266"/>
      <c r="AZ64" s="266"/>
      <c r="BA64" s="266"/>
      <c r="BB64" s="266"/>
      <c r="BC64" s="266"/>
      <c r="BD64" s="266"/>
      <c r="BE64" s="266"/>
      <c r="BF64" s="266"/>
      <c r="BG64" s="266"/>
      <c r="BH64" s="268"/>
      <c r="BI64" s="265" t="s">
        <v>327</v>
      </c>
      <c r="BJ64" s="266"/>
      <c r="BK64" s="266"/>
      <c r="BL64" s="266"/>
      <c r="BM64" s="266"/>
      <c r="BN64" s="266"/>
      <c r="BO64" s="266"/>
      <c r="BP64" s="266"/>
      <c r="BQ64" s="266"/>
      <c r="BR64" s="266"/>
      <c r="BS64" s="267"/>
    </row>
    <row r="65" spans="1:71" ht="13.5" thickBot="1" x14ac:dyDescent="0.25">
      <c r="E65" s="108" t="s">
        <v>317</v>
      </c>
      <c r="F65" s="142">
        <v>2</v>
      </c>
      <c r="G65" s="31">
        <v>3</v>
      </c>
      <c r="H65" s="31">
        <v>4</v>
      </c>
      <c r="I65" s="31">
        <v>5</v>
      </c>
      <c r="J65" s="31">
        <v>6</v>
      </c>
      <c r="K65" s="31">
        <v>7</v>
      </c>
      <c r="L65" s="31">
        <v>8</v>
      </c>
      <c r="M65" s="31">
        <v>9</v>
      </c>
      <c r="N65" s="31">
        <v>10</v>
      </c>
      <c r="O65" s="31">
        <v>11</v>
      </c>
      <c r="P65" s="140">
        <v>12</v>
      </c>
      <c r="Q65" s="142">
        <v>13</v>
      </c>
      <c r="R65" s="31">
        <v>14</v>
      </c>
      <c r="S65" s="31">
        <v>15</v>
      </c>
      <c r="T65" s="31">
        <v>16</v>
      </c>
      <c r="U65" s="31">
        <v>17</v>
      </c>
      <c r="V65" s="31">
        <v>18</v>
      </c>
      <c r="W65" s="31">
        <v>19</v>
      </c>
      <c r="X65" s="31">
        <v>20</v>
      </c>
      <c r="Y65" s="31">
        <v>21</v>
      </c>
      <c r="Z65" s="31">
        <v>22</v>
      </c>
      <c r="AA65" s="143">
        <v>23</v>
      </c>
      <c r="AB65" s="141">
        <v>24</v>
      </c>
      <c r="AC65" s="31">
        <v>25</v>
      </c>
      <c r="AD65" s="31">
        <v>26</v>
      </c>
      <c r="AE65" s="31">
        <v>27</v>
      </c>
      <c r="AF65" s="31">
        <v>28</v>
      </c>
      <c r="AG65" s="31">
        <v>29</v>
      </c>
      <c r="AH65" s="31">
        <v>30</v>
      </c>
      <c r="AI65" s="31">
        <v>31</v>
      </c>
      <c r="AJ65" s="31">
        <v>32</v>
      </c>
      <c r="AK65" s="31">
        <v>33</v>
      </c>
      <c r="AL65" s="140">
        <v>34</v>
      </c>
      <c r="AM65" s="142">
        <v>35</v>
      </c>
      <c r="AN65" s="31">
        <v>36</v>
      </c>
      <c r="AO65" s="31">
        <v>37</v>
      </c>
      <c r="AP65" s="31">
        <v>38</v>
      </c>
      <c r="AQ65" s="31">
        <v>39</v>
      </c>
      <c r="AR65" s="31">
        <v>40</v>
      </c>
      <c r="AS65" s="31">
        <v>41</v>
      </c>
      <c r="AT65" s="31">
        <v>42</v>
      </c>
      <c r="AU65" s="31">
        <v>43</v>
      </c>
      <c r="AV65" s="31">
        <v>44</v>
      </c>
      <c r="AW65" s="143">
        <v>45</v>
      </c>
      <c r="AX65" s="141">
        <v>46</v>
      </c>
      <c r="AY65" s="31">
        <v>47</v>
      </c>
      <c r="AZ65" s="31">
        <v>48</v>
      </c>
      <c r="BA65" s="31">
        <v>49</v>
      </c>
      <c r="BB65" s="31">
        <v>50</v>
      </c>
      <c r="BC65" s="31">
        <v>51</v>
      </c>
      <c r="BD65" s="31">
        <v>52</v>
      </c>
      <c r="BE65" s="31">
        <v>53</v>
      </c>
      <c r="BF65" s="31">
        <v>54</v>
      </c>
      <c r="BG65" s="31">
        <v>55</v>
      </c>
      <c r="BH65" s="140">
        <v>56</v>
      </c>
      <c r="BI65" s="142">
        <v>57</v>
      </c>
      <c r="BJ65" s="31">
        <v>58</v>
      </c>
      <c r="BK65" s="31">
        <v>59</v>
      </c>
      <c r="BL65" s="31">
        <v>60</v>
      </c>
      <c r="BM65" s="31">
        <v>61</v>
      </c>
      <c r="BN65" s="31">
        <v>62</v>
      </c>
      <c r="BO65" s="31">
        <v>63</v>
      </c>
      <c r="BP65" s="31">
        <v>64</v>
      </c>
      <c r="BQ65" s="31">
        <v>65</v>
      </c>
      <c r="BR65" s="31">
        <v>66</v>
      </c>
      <c r="BS65" s="143">
        <v>67</v>
      </c>
    </row>
    <row r="66" spans="1:71" ht="16.5" thickBot="1" x14ac:dyDescent="0.35">
      <c r="A66" s="159" t="s">
        <v>296</v>
      </c>
      <c r="B66" s="160" t="s">
        <v>318</v>
      </c>
      <c r="C66" s="160" t="s">
        <v>319</v>
      </c>
      <c r="D66" s="160" t="s">
        <v>321</v>
      </c>
      <c r="E66" s="161" t="s">
        <v>320</v>
      </c>
      <c r="F66" s="144">
        <v>0</v>
      </c>
      <c r="G66" s="145">
        <v>5</v>
      </c>
      <c r="H66" s="145">
        <v>10</v>
      </c>
      <c r="I66" s="145">
        <v>15</v>
      </c>
      <c r="J66" s="145">
        <v>20</v>
      </c>
      <c r="K66" s="145">
        <v>25</v>
      </c>
      <c r="L66" s="145">
        <v>30</v>
      </c>
      <c r="M66" s="145">
        <v>35</v>
      </c>
      <c r="N66" s="145">
        <v>40</v>
      </c>
      <c r="O66" s="145">
        <v>45</v>
      </c>
      <c r="P66" s="164">
        <v>50</v>
      </c>
      <c r="Q66" s="144">
        <v>0</v>
      </c>
      <c r="R66" s="145">
        <v>5</v>
      </c>
      <c r="S66" s="145">
        <v>10</v>
      </c>
      <c r="T66" s="145">
        <v>15</v>
      </c>
      <c r="U66" s="145">
        <v>20</v>
      </c>
      <c r="V66" s="145">
        <v>25</v>
      </c>
      <c r="W66" s="145">
        <v>30</v>
      </c>
      <c r="X66" s="145">
        <v>35</v>
      </c>
      <c r="Y66" s="145">
        <v>40</v>
      </c>
      <c r="Z66" s="145">
        <v>45</v>
      </c>
      <c r="AA66" s="146">
        <v>50</v>
      </c>
      <c r="AB66" s="148">
        <v>0</v>
      </c>
      <c r="AC66" s="145">
        <v>5</v>
      </c>
      <c r="AD66" s="145">
        <v>10</v>
      </c>
      <c r="AE66" s="145">
        <v>15</v>
      </c>
      <c r="AF66" s="145">
        <v>20</v>
      </c>
      <c r="AG66" s="145">
        <v>25</v>
      </c>
      <c r="AH66" s="145">
        <v>30</v>
      </c>
      <c r="AI66" s="145">
        <v>35</v>
      </c>
      <c r="AJ66" s="145">
        <v>40</v>
      </c>
      <c r="AK66" s="145">
        <v>45</v>
      </c>
      <c r="AL66" s="164">
        <v>50</v>
      </c>
      <c r="AM66" s="144">
        <v>0</v>
      </c>
      <c r="AN66" s="145">
        <v>5</v>
      </c>
      <c r="AO66" s="145">
        <v>10</v>
      </c>
      <c r="AP66" s="145">
        <v>15</v>
      </c>
      <c r="AQ66" s="145">
        <v>20</v>
      </c>
      <c r="AR66" s="145">
        <v>25</v>
      </c>
      <c r="AS66" s="145">
        <v>30</v>
      </c>
      <c r="AT66" s="145">
        <v>35</v>
      </c>
      <c r="AU66" s="145">
        <v>40</v>
      </c>
      <c r="AV66" s="145">
        <v>45</v>
      </c>
      <c r="AW66" s="146">
        <v>50</v>
      </c>
      <c r="AX66" s="148">
        <v>0</v>
      </c>
      <c r="AY66" s="145">
        <v>5</v>
      </c>
      <c r="AZ66" s="145">
        <v>10</v>
      </c>
      <c r="BA66" s="145">
        <v>15</v>
      </c>
      <c r="BB66" s="145">
        <v>20</v>
      </c>
      <c r="BC66" s="145">
        <v>25</v>
      </c>
      <c r="BD66" s="145">
        <v>30</v>
      </c>
      <c r="BE66" s="145">
        <v>35</v>
      </c>
      <c r="BF66" s="145">
        <v>40</v>
      </c>
      <c r="BG66" s="145">
        <v>45</v>
      </c>
      <c r="BH66" s="164">
        <v>50</v>
      </c>
      <c r="BI66" s="144">
        <v>0</v>
      </c>
      <c r="BJ66" s="145">
        <v>5</v>
      </c>
      <c r="BK66" s="145">
        <v>10</v>
      </c>
      <c r="BL66" s="145">
        <v>15</v>
      </c>
      <c r="BM66" s="145">
        <v>20</v>
      </c>
      <c r="BN66" s="145">
        <v>25</v>
      </c>
      <c r="BO66" s="145">
        <v>30</v>
      </c>
      <c r="BP66" s="145">
        <v>35</v>
      </c>
      <c r="BQ66" s="145">
        <v>40</v>
      </c>
      <c r="BR66" s="145">
        <v>45</v>
      </c>
      <c r="BS66" s="146">
        <v>50</v>
      </c>
    </row>
    <row r="67" spans="1:71" x14ac:dyDescent="0.2">
      <c r="A67" s="149" t="s">
        <v>75</v>
      </c>
      <c r="B67" s="150">
        <f>B13</f>
        <v>0</v>
      </c>
      <c r="C67" s="151">
        <f>SUM(B51:D51)</f>
        <v>0</v>
      </c>
      <c r="D67" s="151">
        <f t="shared" ref="D67:D76" si="11">SUM(F51:H51)</f>
        <v>0</v>
      </c>
      <c r="E67" s="152">
        <f t="shared" ref="E67:E76" si="12">SUM(L51:M51)</f>
        <v>0</v>
      </c>
      <c r="F67" s="193">
        <f>IF(($B67-F$66)&gt;=0,$C67,0)</f>
        <v>0</v>
      </c>
      <c r="G67" s="186">
        <f t="shared" ref="F67:P76" si="13">IF(($B67-G$66)&gt;=0,$C67,0)</f>
        <v>0</v>
      </c>
      <c r="H67" s="186">
        <f t="shared" si="13"/>
        <v>0</v>
      </c>
      <c r="I67" s="186">
        <f t="shared" si="13"/>
        <v>0</v>
      </c>
      <c r="J67" s="186">
        <f t="shared" si="13"/>
        <v>0</v>
      </c>
      <c r="K67" s="186">
        <f t="shared" si="13"/>
        <v>0</v>
      </c>
      <c r="L67" s="186">
        <f t="shared" si="13"/>
        <v>0</v>
      </c>
      <c r="M67" s="186">
        <f t="shared" si="13"/>
        <v>0</v>
      </c>
      <c r="N67" s="186">
        <f t="shared" si="13"/>
        <v>0</v>
      </c>
      <c r="O67" s="186">
        <f t="shared" si="13"/>
        <v>0</v>
      </c>
      <c r="P67" s="194">
        <f t="shared" si="13"/>
        <v>0</v>
      </c>
      <c r="Q67" s="185">
        <f t="shared" ref="Q67:Q76" si="14">IF(($B67-Q$66)&gt;=0,$C67*($B67-Q$66),0)</f>
        <v>0</v>
      </c>
      <c r="R67" s="186">
        <f t="shared" ref="R67:AA67" si="15">IF(($B67-R$66)&gt;=0,$C67*($B67-R$66),0)</f>
        <v>0</v>
      </c>
      <c r="S67" s="186">
        <f t="shared" si="15"/>
        <v>0</v>
      </c>
      <c r="T67" s="186">
        <f t="shared" si="15"/>
        <v>0</v>
      </c>
      <c r="U67" s="186">
        <f t="shared" si="15"/>
        <v>0</v>
      </c>
      <c r="V67" s="186">
        <f t="shared" si="15"/>
        <v>0</v>
      </c>
      <c r="W67" s="186">
        <f t="shared" si="15"/>
        <v>0</v>
      </c>
      <c r="X67" s="186">
        <f t="shared" si="15"/>
        <v>0</v>
      </c>
      <c r="Y67" s="186">
        <f t="shared" si="15"/>
        <v>0</v>
      </c>
      <c r="Z67" s="186">
        <f t="shared" si="15"/>
        <v>0</v>
      </c>
      <c r="AA67" s="187">
        <f t="shared" si="15"/>
        <v>0</v>
      </c>
      <c r="AB67" s="193">
        <f t="shared" ref="AB67:AB76" si="16">IF(($B67-AB$66)&gt;=0,$D67,0)</f>
        <v>0</v>
      </c>
      <c r="AC67" s="186">
        <f t="shared" ref="AC67:AL67" si="17">IF(($B67-AC$66)&gt;=0,$D67,0)</f>
        <v>0</v>
      </c>
      <c r="AD67" s="186">
        <f t="shared" si="17"/>
        <v>0</v>
      </c>
      <c r="AE67" s="186">
        <f t="shared" si="17"/>
        <v>0</v>
      </c>
      <c r="AF67" s="186">
        <f t="shared" si="17"/>
        <v>0</v>
      </c>
      <c r="AG67" s="186">
        <f t="shared" si="17"/>
        <v>0</v>
      </c>
      <c r="AH67" s="186">
        <f t="shared" si="17"/>
        <v>0</v>
      </c>
      <c r="AI67" s="186">
        <f t="shared" si="17"/>
        <v>0</v>
      </c>
      <c r="AJ67" s="186">
        <f t="shared" si="17"/>
        <v>0</v>
      </c>
      <c r="AK67" s="186">
        <f t="shared" si="17"/>
        <v>0</v>
      </c>
      <c r="AL67" s="194">
        <f t="shared" si="17"/>
        <v>0</v>
      </c>
      <c r="AM67" s="185">
        <f>IF(($B67-AM$66)&gt;=0,$D67*($B67-AM$66),0)</f>
        <v>0</v>
      </c>
      <c r="AN67" s="186">
        <f t="shared" ref="AN67:AW67" si="18">IF(($B67-AN$66)&gt;=0,$D67*($B67-AN$66),0)</f>
        <v>0</v>
      </c>
      <c r="AO67" s="186">
        <f t="shared" si="18"/>
        <v>0</v>
      </c>
      <c r="AP67" s="186">
        <f t="shared" si="18"/>
        <v>0</v>
      </c>
      <c r="AQ67" s="186">
        <f t="shared" si="18"/>
        <v>0</v>
      </c>
      <c r="AR67" s="186">
        <f t="shared" si="18"/>
        <v>0</v>
      </c>
      <c r="AS67" s="186">
        <f t="shared" si="18"/>
        <v>0</v>
      </c>
      <c r="AT67" s="186">
        <f t="shared" si="18"/>
        <v>0</v>
      </c>
      <c r="AU67" s="186">
        <f t="shared" si="18"/>
        <v>0</v>
      </c>
      <c r="AV67" s="186">
        <f t="shared" si="18"/>
        <v>0</v>
      </c>
      <c r="AW67" s="187">
        <f t="shared" si="18"/>
        <v>0</v>
      </c>
      <c r="AX67" s="193">
        <f>IF(($B67-AX$66)&gt;=0,$E67,0)</f>
        <v>0</v>
      </c>
      <c r="AY67" s="186">
        <f t="shared" ref="AY67:BH67" si="19">IF(($B67-AY$66)&gt;=0,$E67,0)</f>
        <v>0</v>
      </c>
      <c r="AZ67" s="186">
        <f t="shared" si="19"/>
        <v>0</v>
      </c>
      <c r="BA67" s="186">
        <f t="shared" si="19"/>
        <v>0</v>
      </c>
      <c r="BB67" s="186">
        <f t="shared" si="19"/>
        <v>0</v>
      </c>
      <c r="BC67" s="186">
        <f t="shared" si="19"/>
        <v>0</v>
      </c>
      <c r="BD67" s="186">
        <f t="shared" si="19"/>
        <v>0</v>
      </c>
      <c r="BE67" s="186">
        <f t="shared" si="19"/>
        <v>0</v>
      </c>
      <c r="BF67" s="186">
        <f t="shared" si="19"/>
        <v>0</v>
      </c>
      <c r="BG67" s="186">
        <f t="shared" si="19"/>
        <v>0</v>
      </c>
      <c r="BH67" s="194">
        <f t="shared" si="19"/>
        <v>0</v>
      </c>
      <c r="BI67" s="185">
        <f>IF(($B67-BI$66)&gt;=0,$E67*($B67-BI$66),0)</f>
        <v>0</v>
      </c>
      <c r="BJ67" s="186">
        <f t="shared" ref="BJ67:BS67" si="20">IF(($B67-BJ$66)&gt;=0,$E67*($B67-BJ$66),0)</f>
        <v>0</v>
      </c>
      <c r="BK67" s="186">
        <f t="shared" si="20"/>
        <v>0</v>
      </c>
      <c r="BL67" s="186">
        <f t="shared" si="20"/>
        <v>0</v>
      </c>
      <c r="BM67" s="186">
        <f t="shared" si="20"/>
        <v>0</v>
      </c>
      <c r="BN67" s="186">
        <f t="shared" si="20"/>
        <v>0</v>
      </c>
      <c r="BO67" s="186">
        <f t="shared" si="20"/>
        <v>0</v>
      </c>
      <c r="BP67" s="186">
        <f t="shared" si="20"/>
        <v>0</v>
      </c>
      <c r="BQ67" s="186">
        <f t="shared" si="20"/>
        <v>0</v>
      </c>
      <c r="BR67" s="186">
        <f t="shared" si="20"/>
        <v>0</v>
      </c>
      <c r="BS67" s="187">
        <f t="shared" si="20"/>
        <v>0</v>
      </c>
    </row>
    <row r="68" spans="1:71" x14ac:dyDescent="0.2">
      <c r="A68" s="153" t="s">
        <v>76</v>
      </c>
      <c r="B68" s="106">
        <f t="shared" ref="B68:B76" si="21">B14</f>
        <v>0</v>
      </c>
      <c r="C68" s="98">
        <f t="shared" ref="C68:C76" si="22">SUM(B52:D52)</f>
        <v>0</v>
      </c>
      <c r="D68" s="98">
        <f t="shared" si="11"/>
        <v>0</v>
      </c>
      <c r="E68" s="154">
        <f t="shared" si="12"/>
        <v>0</v>
      </c>
      <c r="F68" s="195">
        <f t="shared" si="13"/>
        <v>0</v>
      </c>
      <c r="G68" s="97">
        <f t="shared" si="13"/>
        <v>0</v>
      </c>
      <c r="H68" s="97">
        <f t="shared" si="13"/>
        <v>0</v>
      </c>
      <c r="I68" s="97">
        <f t="shared" si="13"/>
        <v>0</v>
      </c>
      <c r="J68" s="97">
        <f t="shared" si="13"/>
        <v>0</v>
      </c>
      <c r="K68" s="97">
        <f t="shared" si="13"/>
        <v>0</v>
      </c>
      <c r="L68" s="97">
        <f t="shared" si="13"/>
        <v>0</v>
      </c>
      <c r="M68" s="97">
        <f t="shared" si="13"/>
        <v>0</v>
      </c>
      <c r="N68" s="97">
        <f t="shared" si="13"/>
        <v>0</v>
      </c>
      <c r="O68" s="97">
        <f t="shared" si="13"/>
        <v>0</v>
      </c>
      <c r="P68" s="196">
        <f t="shared" si="13"/>
        <v>0</v>
      </c>
      <c r="Q68" s="188">
        <f t="shared" si="14"/>
        <v>0</v>
      </c>
      <c r="R68" s="97">
        <f t="shared" ref="R68:AA76" si="23">IF(($B68-R$66)&gt;=0,$C68*($B68-R$66),0)</f>
        <v>0</v>
      </c>
      <c r="S68" s="97">
        <f t="shared" si="23"/>
        <v>0</v>
      </c>
      <c r="T68" s="97">
        <f t="shared" si="23"/>
        <v>0</v>
      </c>
      <c r="U68" s="97">
        <f t="shared" si="23"/>
        <v>0</v>
      </c>
      <c r="V68" s="97">
        <f t="shared" si="23"/>
        <v>0</v>
      </c>
      <c r="W68" s="97">
        <f t="shared" si="23"/>
        <v>0</v>
      </c>
      <c r="X68" s="97">
        <f t="shared" si="23"/>
        <v>0</v>
      </c>
      <c r="Y68" s="97">
        <f t="shared" si="23"/>
        <v>0</v>
      </c>
      <c r="Z68" s="97">
        <f t="shared" si="23"/>
        <v>0</v>
      </c>
      <c r="AA68" s="189">
        <f t="shared" si="23"/>
        <v>0</v>
      </c>
      <c r="AB68" s="195">
        <f t="shared" si="16"/>
        <v>0</v>
      </c>
      <c r="AC68" s="97">
        <f t="shared" ref="AC68:AL76" si="24">IF(($B68-AC$66)&gt;=0,$D68,0)</f>
        <v>0</v>
      </c>
      <c r="AD68" s="97">
        <f t="shared" si="24"/>
        <v>0</v>
      </c>
      <c r="AE68" s="97">
        <f t="shared" si="24"/>
        <v>0</v>
      </c>
      <c r="AF68" s="97">
        <f t="shared" si="24"/>
        <v>0</v>
      </c>
      <c r="AG68" s="97">
        <f t="shared" si="24"/>
        <v>0</v>
      </c>
      <c r="AH68" s="97">
        <f t="shared" si="24"/>
        <v>0</v>
      </c>
      <c r="AI68" s="97">
        <f t="shared" si="24"/>
        <v>0</v>
      </c>
      <c r="AJ68" s="97">
        <f t="shared" si="24"/>
        <v>0</v>
      </c>
      <c r="AK68" s="97">
        <f t="shared" si="24"/>
        <v>0</v>
      </c>
      <c r="AL68" s="196">
        <f t="shared" si="24"/>
        <v>0</v>
      </c>
      <c r="AM68" s="188">
        <f t="shared" ref="AM68:AW76" si="25">IF(($B68-AM$66)&gt;=0,$D68*($B68-AM$66),0)</f>
        <v>0</v>
      </c>
      <c r="AN68" s="97">
        <f t="shared" si="25"/>
        <v>0</v>
      </c>
      <c r="AO68" s="97">
        <f t="shared" si="25"/>
        <v>0</v>
      </c>
      <c r="AP68" s="97">
        <f t="shared" si="25"/>
        <v>0</v>
      </c>
      <c r="AQ68" s="97">
        <f t="shared" si="25"/>
        <v>0</v>
      </c>
      <c r="AR68" s="97">
        <f t="shared" si="25"/>
        <v>0</v>
      </c>
      <c r="AS68" s="97">
        <f t="shared" si="25"/>
        <v>0</v>
      </c>
      <c r="AT68" s="97">
        <f t="shared" si="25"/>
        <v>0</v>
      </c>
      <c r="AU68" s="97">
        <f t="shared" si="25"/>
        <v>0</v>
      </c>
      <c r="AV68" s="97">
        <f t="shared" si="25"/>
        <v>0</v>
      </c>
      <c r="AW68" s="189">
        <f t="shared" si="25"/>
        <v>0</v>
      </c>
      <c r="AX68" s="195">
        <f t="shared" ref="AX68:BH76" si="26">IF(($B68-AX$66)&gt;=0,$E68,0)</f>
        <v>0</v>
      </c>
      <c r="AY68" s="97">
        <f t="shared" si="26"/>
        <v>0</v>
      </c>
      <c r="AZ68" s="97">
        <f t="shared" si="26"/>
        <v>0</v>
      </c>
      <c r="BA68" s="97">
        <f t="shared" si="26"/>
        <v>0</v>
      </c>
      <c r="BB68" s="97">
        <f t="shared" si="26"/>
        <v>0</v>
      </c>
      <c r="BC68" s="97">
        <f t="shared" si="26"/>
        <v>0</v>
      </c>
      <c r="BD68" s="97">
        <f t="shared" si="26"/>
        <v>0</v>
      </c>
      <c r="BE68" s="97">
        <f t="shared" si="26"/>
        <v>0</v>
      </c>
      <c r="BF68" s="97">
        <f t="shared" si="26"/>
        <v>0</v>
      </c>
      <c r="BG68" s="97">
        <f t="shared" si="26"/>
        <v>0</v>
      </c>
      <c r="BH68" s="196">
        <f t="shared" si="26"/>
        <v>0</v>
      </c>
      <c r="BI68" s="188">
        <f t="shared" ref="BI68:BS76" si="27">IF(($B68-BI$66)&gt;=0,$E68*($B68-BI$66),0)</f>
        <v>0</v>
      </c>
      <c r="BJ68" s="97">
        <f t="shared" si="27"/>
        <v>0</v>
      </c>
      <c r="BK68" s="97">
        <f t="shared" si="27"/>
        <v>0</v>
      </c>
      <c r="BL68" s="97">
        <f t="shared" si="27"/>
        <v>0</v>
      </c>
      <c r="BM68" s="97">
        <f t="shared" si="27"/>
        <v>0</v>
      </c>
      <c r="BN68" s="97">
        <f t="shared" si="27"/>
        <v>0</v>
      </c>
      <c r="BO68" s="97">
        <f t="shared" si="27"/>
        <v>0</v>
      </c>
      <c r="BP68" s="97">
        <f t="shared" si="27"/>
        <v>0</v>
      </c>
      <c r="BQ68" s="97">
        <f t="shared" si="27"/>
        <v>0</v>
      </c>
      <c r="BR68" s="97">
        <f t="shared" si="27"/>
        <v>0</v>
      </c>
      <c r="BS68" s="189">
        <f t="shared" si="27"/>
        <v>0</v>
      </c>
    </row>
    <row r="69" spans="1:71" x14ac:dyDescent="0.2">
      <c r="A69" s="153" t="s">
        <v>77</v>
      </c>
      <c r="B69" s="106">
        <f t="shared" si="21"/>
        <v>0</v>
      </c>
      <c r="C69" s="98">
        <f t="shared" si="22"/>
        <v>0</v>
      </c>
      <c r="D69" s="98">
        <f t="shared" si="11"/>
        <v>0</v>
      </c>
      <c r="E69" s="154">
        <f t="shared" si="12"/>
        <v>0</v>
      </c>
      <c r="F69" s="195">
        <f t="shared" si="13"/>
        <v>0</v>
      </c>
      <c r="G69" s="97">
        <f t="shared" si="13"/>
        <v>0</v>
      </c>
      <c r="H69" s="97">
        <f t="shared" si="13"/>
        <v>0</v>
      </c>
      <c r="I69" s="97">
        <f t="shared" si="13"/>
        <v>0</v>
      </c>
      <c r="J69" s="97">
        <f t="shared" si="13"/>
        <v>0</v>
      </c>
      <c r="K69" s="97">
        <f t="shared" si="13"/>
        <v>0</v>
      </c>
      <c r="L69" s="97">
        <f t="shared" si="13"/>
        <v>0</v>
      </c>
      <c r="M69" s="97">
        <f t="shared" si="13"/>
        <v>0</v>
      </c>
      <c r="N69" s="97">
        <f t="shared" si="13"/>
        <v>0</v>
      </c>
      <c r="O69" s="97">
        <f t="shared" si="13"/>
        <v>0</v>
      </c>
      <c r="P69" s="196">
        <f t="shared" si="13"/>
        <v>0</v>
      </c>
      <c r="Q69" s="188">
        <f t="shared" si="14"/>
        <v>0</v>
      </c>
      <c r="R69" s="97">
        <f t="shared" si="23"/>
        <v>0</v>
      </c>
      <c r="S69" s="97">
        <f t="shared" si="23"/>
        <v>0</v>
      </c>
      <c r="T69" s="97">
        <f t="shared" si="23"/>
        <v>0</v>
      </c>
      <c r="U69" s="97">
        <f t="shared" si="23"/>
        <v>0</v>
      </c>
      <c r="V69" s="97">
        <f t="shared" si="23"/>
        <v>0</v>
      </c>
      <c r="W69" s="97">
        <f t="shared" si="23"/>
        <v>0</v>
      </c>
      <c r="X69" s="97">
        <f t="shared" si="23"/>
        <v>0</v>
      </c>
      <c r="Y69" s="97">
        <f t="shared" si="23"/>
        <v>0</v>
      </c>
      <c r="Z69" s="97">
        <f t="shared" si="23"/>
        <v>0</v>
      </c>
      <c r="AA69" s="189">
        <f t="shared" si="23"/>
        <v>0</v>
      </c>
      <c r="AB69" s="195">
        <f t="shared" si="16"/>
        <v>0</v>
      </c>
      <c r="AC69" s="97">
        <f t="shared" si="24"/>
        <v>0</v>
      </c>
      <c r="AD69" s="97">
        <f t="shared" si="24"/>
        <v>0</v>
      </c>
      <c r="AE69" s="97">
        <f t="shared" si="24"/>
        <v>0</v>
      </c>
      <c r="AF69" s="97">
        <f t="shared" si="24"/>
        <v>0</v>
      </c>
      <c r="AG69" s="97">
        <f t="shared" si="24"/>
        <v>0</v>
      </c>
      <c r="AH69" s="97">
        <f t="shared" si="24"/>
        <v>0</v>
      </c>
      <c r="AI69" s="97">
        <f t="shared" si="24"/>
        <v>0</v>
      </c>
      <c r="AJ69" s="97">
        <f t="shared" si="24"/>
        <v>0</v>
      </c>
      <c r="AK69" s="97">
        <f t="shared" si="24"/>
        <v>0</v>
      </c>
      <c r="AL69" s="196">
        <f t="shared" si="24"/>
        <v>0</v>
      </c>
      <c r="AM69" s="188">
        <f t="shared" si="25"/>
        <v>0</v>
      </c>
      <c r="AN69" s="97">
        <f t="shared" si="25"/>
        <v>0</v>
      </c>
      <c r="AO69" s="97">
        <f t="shared" si="25"/>
        <v>0</v>
      </c>
      <c r="AP69" s="97">
        <f t="shared" si="25"/>
        <v>0</v>
      </c>
      <c r="AQ69" s="97">
        <f t="shared" si="25"/>
        <v>0</v>
      </c>
      <c r="AR69" s="97">
        <f t="shared" si="25"/>
        <v>0</v>
      </c>
      <c r="AS69" s="97">
        <f t="shared" si="25"/>
        <v>0</v>
      </c>
      <c r="AT69" s="97">
        <f t="shared" si="25"/>
        <v>0</v>
      </c>
      <c r="AU69" s="97">
        <f t="shared" si="25"/>
        <v>0</v>
      </c>
      <c r="AV69" s="97">
        <f t="shared" si="25"/>
        <v>0</v>
      </c>
      <c r="AW69" s="189">
        <f t="shared" si="25"/>
        <v>0</v>
      </c>
      <c r="AX69" s="195">
        <f t="shared" si="26"/>
        <v>0</v>
      </c>
      <c r="AY69" s="97">
        <f t="shared" si="26"/>
        <v>0</v>
      </c>
      <c r="AZ69" s="97">
        <f t="shared" si="26"/>
        <v>0</v>
      </c>
      <c r="BA69" s="97">
        <f t="shared" si="26"/>
        <v>0</v>
      </c>
      <c r="BB69" s="97">
        <f t="shared" si="26"/>
        <v>0</v>
      </c>
      <c r="BC69" s="97">
        <f t="shared" si="26"/>
        <v>0</v>
      </c>
      <c r="BD69" s="97">
        <f t="shared" si="26"/>
        <v>0</v>
      </c>
      <c r="BE69" s="97">
        <f t="shared" si="26"/>
        <v>0</v>
      </c>
      <c r="BF69" s="97">
        <f t="shared" si="26"/>
        <v>0</v>
      </c>
      <c r="BG69" s="97">
        <f t="shared" si="26"/>
        <v>0</v>
      </c>
      <c r="BH69" s="196">
        <f t="shared" si="26"/>
        <v>0</v>
      </c>
      <c r="BI69" s="188">
        <f t="shared" si="27"/>
        <v>0</v>
      </c>
      <c r="BJ69" s="97">
        <f t="shared" si="27"/>
        <v>0</v>
      </c>
      <c r="BK69" s="97">
        <f t="shared" si="27"/>
        <v>0</v>
      </c>
      <c r="BL69" s="97">
        <f t="shared" si="27"/>
        <v>0</v>
      </c>
      <c r="BM69" s="97">
        <f t="shared" si="27"/>
        <v>0</v>
      </c>
      <c r="BN69" s="97">
        <f t="shared" si="27"/>
        <v>0</v>
      </c>
      <c r="BO69" s="97">
        <f t="shared" si="27"/>
        <v>0</v>
      </c>
      <c r="BP69" s="97">
        <f t="shared" si="27"/>
        <v>0</v>
      </c>
      <c r="BQ69" s="97">
        <f t="shared" si="27"/>
        <v>0</v>
      </c>
      <c r="BR69" s="97">
        <f t="shared" si="27"/>
        <v>0</v>
      </c>
      <c r="BS69" s="189">
        <f t="shared" si="27"/>
        <v>0</v>
      </c>
    </row>
    <row r="70" spans="1:71" x14ac:dyDescent="0.2">
      <c r="A70" s="153" t="s">
        <v>78</v>
      </c>
      <c r="B70" s="106">
        <f t="shared" si="21"/>
        <v>0</v>
      </c>
      <c r="C70" s="98">
        <f t="shared" si="22"/>
        <v>0</v>
      </c>
      <c r="D70" s="98">
        <f t="shared" si="11"/>
        <v>0</v>
      </c>
      <c r="E70" s="154">
        <f t="shared" si="12"/>
        <v>0</v>
      </c>
      <c r="F70" s="195">
        <f t="shared" si="13"/>
        <v>0</v>
      </c>
      <c r="G70" s="97">
        <f t="shared" si="13"/>
        <v>0</v>
      </c>
      <c r="H70" s="97">
        <f t="shared" si="13"/>
        <v>0</v>
      </c>
      <c r="I70" s="97">
        <f t="shared" si="13"/>
        <v>0</v>
      </c>
      <c r="J70" s="97">
        <f t="shared" si="13"/>
        <v>0</v>
      </c>
      <c r="K70" s="97">
        <f t="shared" si="13"/>
        <v>0</v>
      </c>
      <c r="L70" s="97">
        <f t="shared" si="13"/>
        <v>0</v>
      </c>
      <c r="M70" s="97">
        <f t="shared" si="13"/>
        <v>0</v>
      </c>
      <c r="N70" s="97">
        <f t="shared" si="13"/>
        <v>0</v>
      </c>
      <c r="O70" s="97">
        <f t="shared" si="13"/>
        <v>0</v>
      </c>
      <c r="P70" s="196">
        <f t="shared" si="13"/>
        <v>0</v>
      </c>
      <c r="Q70" s="188">
        <f t="shared" si="14"/>
        <v>0</v>
      </c>
      <c r="R70" s="97">
        <f t="shared" si="23"/>
        <v>0</v>
      </c>
      <c r="S70" s="97">
        <f t="shared" si="23"/>
        <v>0</v>
      </c>
      <c r="T70" s="97">
        <f t="shared" si="23"/>
        <v>0</v>
      </c>
      <c r="U70" s="97">
        <f t="shared" si="23"/>
        <v>0</v>
      </c>
      <c r="V70" s="97">
        <f t="shared" si="23"/>
        <v>0</v>
      </c>
      <c r="W70" s="97">
        <f t="shared" si="23"/>
        <v>0</v>
      </c>
      <c r="X70" s="97">
        <f t="shared" si="23"/>
        <v>0</v>
      </c>
      <c r="Y70" s="97">
        <f t="shared" si="23"/>
        <v>0</v>
      </c>
      <c r="Z70" s="97">
        <f t="shared" si="23"/>
        <v>0</v>
      </c>
      <c r="AA70" s="189">
        <f t="shared" si="23"/>
        <v>0</v>
      </c>
      <c r="AB70" s="195">
        <f t="shared" si="16"/>
        <v>0</v>
      </c>
      <c r="AC70" s="97">
        <f t="shared" si="24"/>
        <v>0</v>
      </c>
      <c r="AD70" s="97">
        <f t="shared" si="24"/>
        <v>0</v>
      </c>
      <c r="AE70" s="97">
        <f t="shared" si="24"/>
        <v>0</v>
      </c>
      <c r="AF70" s="97">
        <f t="shared" si="24"/>
        <v>0</v>
      </c>
      <c r="AG70" s="97">
        <f t="shared" si="24"/>
        <v>0</v>
      </c>
      <c r="AH70" s="97">
        <f t="shared" si="24"/>
        <v>0</v>
      </c>
      <c r="AI70" s="97">
        <f t="shared" si="24"/>
        <v>0</v>
      </c>
      <c r="AJ70" s="97">
        <f t="shared" si="24"/>
        <v>0</v>
      </c>
      <c r="AK70" s="97">
        <f t="shared" si="24"/>
        <v>0</v>
      </c>
      <c r="AL70" s="196">
        <f t="shared" si="24"/>
        <v>0</v>
      </c>
      <c r="AM70" s="188">
        <f t="shared" si="25"/>
        <v>0</v>
      </c>
      <c r="AN70" s="97">
        <f t="shared" si="25"/>
        <v>0</v>
      </c>
      <c r="AO70" s="97">
        <f t="shared" si="25"/>
        <v>0</v>
      </c>
      <c r="AP70" s="97">
        <f t="shared" si="25"/>
        <v>0</v>
      </c>
      <c r="AQ70" s="97">
        <f t="shared" si="25"/>
        <v>0</v>
      </c>
      <c r="AR70" s="97">
        <f t="shared" si="25"/>
        <v>0</v>
      </c>
      <c r="AS70" s="97">
        <f t="shared" si="25"/>
        <v>0</v>
      </c>
      <c r="AT70" s="97">
        <f t="shared" si="25"/>
        <v>0</v>
      </c>
      <c r="AU70" s="97">
        <f t="shared" si="25"/>
        <v>0</v>
      </c>
      <c r="AV70" s="97">
        <f t="shared" si="25"/>
        <v>0</v>
      </c>
      <c r="AW70" s="189">
        <f t="shared" si="25"/>
        <v>0</v>
      </c>
      <c r="AX70" s="195">
        <f t="shared" si="26"/>
        <v>0</v>
      </c>
      <c r="AY70" s="97">
        <f t="shared" si="26"/>
        <v>0</v>
      </c>
      <c r="AZ70" s="97">
        <f t="shared" si="26"/>
        <v>0</v>
      </c>
      <c r="BA70" s="97">
        <f t="shared" si="26"/>
        <v>0</v>
      </c>
      <c r="BB70" s="97">
        <f t="shared" si="26"/>
        <v>0</v>
      </c>
      <c r="BC70" s="97">
        <f t="shared" si="26"/>
        <v>0</v>
      </c>
      <c r="BD70" s="97">
        <f t="shared" si="26"/>
        <v>0</v>
      </c>
      <c r="BE70" s="97">
        <f t="shared" si="26"/>
        <v>0</v>
      </c>
      <c r="BF70" s="97">
        <f t="shared" si="26"/>
        <v>0</v>
      </c>
      <c r="BG70" s="97">
        <f t="shared" si="26"/>
        <v>0</v>
      </c>
      <c r="BH70" s="196">
        <f t="shared" si="26"/>
        <v>0</v>
      </c>
      <c r="BI70" s="188">
        <f t="shared" si="27"/>
        <v>0</v>
      </c>
      <c r="BJ70" s="97">
        <f t="shared" si="27"/>
        <v>0</v>
      </c>
      <c r="BK70" s="97">
        <f t="shared" si="27"/>
        <v>0</v>
      </c>
      <c r="BL70" s="97">
        <f t="shared" si="27"/>
        <v>0</v>
      </c>
      <c r="BM70" s="97">
        <f t="shared" si="27"/>
        <v>0</v>
      </c>
      <c r="BN70" s="97">
        <f t="shared" si="27"/>
        <v>0</v>
      </c>
      <c r="BO70" s="97">
        <f t="shared" si="27"/>
        <v>0</v>
      </c>
      <c r="BP70" s="97">
        <f t="shared" si="27"/>
        <v>0</v>
      </c>
      <c r="BQ70" s="97">
        <f t="shared" si="27"/>
        <v>0</v>
      </c>
      <c r="BR70" s="97">
        <f t="shared" si="27"/>
        <v>0</v>
      </c>
      <c r="BS70" s="189">
        <f t="shared" si="27"/>
        <v>0</v>
      </c>
    </row>
    <row r="71" spans="1:71" x14ac:dyDescent="0.2">
      <c r="A71" s="153" t="s">
        <v>79</v>
      </c>
      <c r="B71" s="106">
        <f t="shared" si="21"/>
        <v>0</v>
      </c>
      <c r="C71" s="98">
        <f t="shared" si="22"/>
        <v>0</v>
      </c>
      <c r="D71" s="98">
        <f t="shared" si="11"/>
        <v>0</v>
      </c>
      <c r="E71" s="154">
        <f t="shared" si="12"/>
        <v>0</v>
      </c>
      <c r="F71" s="195">
        <f t="shared" si="13"/>
        <v>0</v>
      </c>
      <c r="G71" s="97">
        <f t="shared" si="13"/>
        <v>0</v>
      </c>
      <c r="H71" s="97">
        <f t="shared" si="13"/>
        <v>0</v>
      </c>
      <c r="I71" s="97">
        <f t="shared" si="13"/>
        <v>0</v>
      </c>
      <c r="J71" s="97">
        <f t="shared" si="13"/>
        <v>0</v>
      </c>
      <c r="K71" s="97">
        <f t="shared" si="13"/>
        <v>0</v>
      </c>
      <c r="L71" s="97">
        <f t="shared" si="13"/>
        <v>0</v>
      </c>
      <c r="M71" s="97">
        <f t="shared" si="13"/>
        <v>0</v>
      </c>
      <c r="N71" s="97">
        <f t="shared" si="13"/>
        <v>0</v>
      </c>
      <c r="O71" s="97">
        <f t="shared" si="13"/>
        <v>0</v>
      </c>
      <c r="P71" s="196">
        <f t="shared" si="13"/>
        <v>0</v>
      </c>
      <c r="Q71" s="188">
        <f t="shared" si="14"/>
        <v>0</v>
      </c>
      <c r="R71" s="97">
        <f t="shared" si="23"/>
        <v>0</v>
      </c>
      <c r="S71" s="97">
        <f t="shared" si="23"/>
        <v>0</v>
      </c>
      <c r="T71" s="97">
        <f t="shared" si="23"/>
        <v>0</v>
      </c>
      <c r="U71" s="97">
        <f t="shared" si="23"/>
        <v>0</v>
      </c>
      <c r="V71" s="97">
        <f t="shared" si="23"/>
        <v>0</v>
      </c>
      <c r="W71" s="97">
        <f t="shared" si="23"/>
        <v>0</v>
      </c>
      <c r="X71" s="97">
        <f t="shared" si="23"/>
        <v>0</v>
      </c>
      <c r="Y71" s="97">
        <f t="shared" si="23"/>
        <v>0</v>
      </c>
      <c r="Z71" s="97">
        <f t="shared" si="23"/>
        <v>0</v>
      </c>
      <c r="AA71" s="189">
        <f t="shared" si="23"/>
        <v>0</v>
      </c>
      <c r="AB71" s="195">
        <f t="shared" si="16"/>
        <v>0</v>
      </c>
      <c r="AC71" s="97">
        <f t="shared" si="24"/>
        <v>0</v>
      </c>
      <c r="AD71" s="97">
        <f t="shared" si="24"/>
        <v>0</v>
      </c>
      <c r="AE71" s="97">
        <f t="shared" si="24"/>
        <v>0</v>
      </c>
      <c r="AF71" s="97">
        <f t="shared" si="24"/>
        <v>0</v>
      </c>
      <c r="AG71" s="97">
        <f t="shared" si="24"/>
        <v>0</v>
      </c>
      <c r="AH71" s="97">
        <f t="shared" si="24"/>
        <v>0</v>
      </c>
      <c r="AI71" s="97">
        <f t="shared" si="24"/>
        <v>0</v>
      </c>
      <c r="AJ71" s="97">
        <f t="shared" si="24"/>
        <v>0</v>
      </c>
      <c r="AK71" s="97">
        <f t="shared" si="24"/>
        <v>0</v>
      </c>
      <c r="AL71" s="196">
        <f t="shared" si="24"/>
        <v>0</v>
      </c>
      <c r="AM71" s="188">
        <f t="shared" si="25"/>
        <v>0</v>
      </c>
      <c r="AN71" s="97">
        <f t="shared" si="25"/>
        <v>0</v>
      </c>
      <c r="AO71" s="97">
        <f t="shared" si="25"/>
        <v>0</v>
      </c>
      <c r="AP71" s="97">
        <f t="shared" si="25"/>
        <v>0</v>
      </c>
      <c r="AQ71" s="97">
        <f t="shared" si="25"/>
        <v>0</v>
      </c>
      <c r="AR71" s="97">
        <f t="shared" si="25"/>
        <v>0</v>
      </c>
      <c r="AS71" s="97">
        <f t="shared" si="25"/>
        <v>0</v>
      </c>
      <c r="AT71" s="97">
        <f t="shared" si="25"/>
        <v>0</v>
      </c>
      <c r="AU71" s="97">
        <f t="shared" si="25"/>
        <v>0</v>
      </c>
      <c r="AV71" s="97">
        <f t="shared" si="25"/>
        <v>0</v>
      </c>
      <c r="AW71" s="189">
        <f t="shared" si="25"/>
        <v>0</v>
      </c>
      <c r="AX71" s="195">
        <f t="shared" si="26"/>
        <v>0</v>
      </c>
      <c r="AY71" s="97">
        <f t="shared" si="26"/>
        <v>0</v>
      </c>
      <c r="AZ71" s="97">
        <f t="shared" si="26"/>
        <v>0</v>
      </c>
      <c r="BA71" s="97">
        <f t="shared" si="26"/>
        <v>0</v>
      </c>
      <c r="BB71" s="97">
        <f t="shared" si="26"/>
        <v>0</v>
      </c>
      <c r="BC71" s="97">
        <f t="shared" si="26"/>
        <v>0</v>
      </c>
      <c r="BD71" s="97">
        <f t="shared" si="26"/>
        <v>0</v>
      </c>
      <c r="BE71" s="97">
        <f t="shared" si="26"/>
        <v>0</v>
      </c>
      <c r="BF71" s="97">
        <f t="shared" si="26"/>
        <v>0</v>
      </c>
      <c r="BG71" s="97">
        <f t="shared" si="26"/>
        <v>0</v>
      </c>
      <c r="BH71" s="196">
        <f t="shared" si="26"/>
        <v>0</v>
      </c>
      <c r="BI71" s="188">
        <f t="shared" si="27"/>
        <v>0</v>
      </c>
      <c r="BJ71" s="97">
        <f t="shared" si="27"/>
        <v>0</v>
      </c>
      <c r="BK71" s="97">
        <f t="shared" si="27"/>
        <v>0</v>
      </c>
      <c r="BL71" s="97">
        <f t="shared" si="27"/>
        <v>0</v>
      </c>
      <c r="BM71" s="97">
        <f t="shared" si="27"/>
        <v>0</v>
      </c>
      <c r="BN71" s="97">
        <f t="shared" si="27"/>
        <v>0</v>
      </c>
      <c r="BO71" s="97">
        <f t="shared" si="27"/>
        <v>0</v>
      </c>
      <c r="BP71" s="97">
        <f t="shared" si="27"/>
        <v>0</v>
      </c>
      <c r="BQ71" s="97">
        <f t="shared" si="27"/>
        <v>0</v>
      </c>
      <c r="BR71" s="97">
        <f t="shared" si="27"/>
        <v>0</v>
      </c>
      <c r="BS71" s="189">
        <f t="shared" si="27"/>
        <v>0</v>
      </c>
    </row>
    <row r="72" spans="1:71" x14ac:dyDescent="0.2">
      <c r="A72" s="153" t="s">
        <v>80</v>
      </c>
      <c r="B72" s="106">
        <f t="shared" si="21"/>
        <v>0</v>
      </c>
      <c r="C72" s="98">
        <f t="shared" si="22"/>
        <v>0</v>
      </c>
      <c r="D72" s="98">
        <f t="shared" si="11"/>
        <v>0</v>
      </c>
      <c r="E72" s="154">
        <f t="shared" si="12"/>
        <v>0</v>
      </c>
      <c r="F72" s="195">
        <f t="shared" si="13"/>
        <v>0</v>
      </c>
      <c r="G72" s="97">
        <f t="shared" si="13"/>
        <v>0</v>
      </c>
      <c r="H72" s="97">
        <f t="shared" si="13"/>
        <v>0</v>
      </c>
      <c r="I72" s="97">
        <f t="shared" si="13"/>
        <v>0</v>
      </c>
      <c r="J72" s="97">
        <f t="shared" si="13"/>
        <v>0</v>
      </c>
      <c r="K72" s="97">
        <f t="shared" si="13"/>
        <v>0</v>
      </c>
      <c r="L72" s="97">
        <f t="shared" si="13"/>
        <v>0</v>
      </c>
      <c r="M72" s="97">
        <f t="shared" si="13"/>
        <v>0</v>
      </c>
      <c r="N72" s="97">
        <f t="shared" si="13"/>
        <v>0</v>
      </c>
      <c r="O72" s="97">
        <f t="shared" si="13"/>
        <v>0</v>
      </c>
      <c r="P72" s="196">
        <f t="shared" si="13"/>
        <v>0</v>
      </c>
      <c r="Q72" s="188">
        <f t="shared" si="14"/>
        <v>0</v>
      </c>
      <c r="R72" s="97">
        <f t="shared" si="23"/>
        <v>0</v>
      </c>
      <c r="S72" s="97">
        <f t="shared" si="23"/>
        <v>0</v>
      </c>
      <c r="T72" s="97">
        <f t="shared" si="23"/>
        <v>0</v>
      </c>
      <c r="U72" s="97">
        <f t="shared" si="23"/>
        <v>0</v>
      </c>
      <c r="V72" s="97">
        <f t="shared" si="23"/>
        <v>0</v>
      </c>
      <c r="W72" s="97">
        <f t="shared" si="23"/>
        <v>0</v>
      </c>
      <c r="X72" s="97">
        <f t="shared" si="23"/>
        <v>0</v>
      </c>
      <c r="Y72" s="97">
        <f t="shared" si="23"/>
        <v>0</v>
      </c>
      <c r="Z72" s="97">
        <f t="shared" si="23"/>
        <v>0</v>
      </c>
      <c r="AA72" s="189">
        <f t="shared" si="23"/>
        <v>0</v>
      </c>
      <c r="AB72" s="195">
        <f t="shared" si="16"/>
        <v>0</v>
      </c>
      <c r="AC72" s="97">
        <f t="shared" si="24"/>
        <v>0</v>
      </c>
      <c r="AD72" s="97">
        <f t="shared" si="24"/>
        <v>0</v>
      </c>
      <c r="AE72" s="97">
        <f t="shared" si="24"/>
        <v>0</v>
      </c>
      <c r="AF72" s="97">
        <f t="shared" si="24"/>
        <v>0</v>
      </c>
      <c r="AG72" s="97">
        <f t="shared" si="24"/>
        <v>0</v>
      </c>
      <c r="AH72" s="97">
        <f t="shared" si="24"/>
        <v>0</v>
      </c>
      <c r="AI72" s="97">
        <f t="shared" si="24"/>
        <v>0</v>
      </c>
      <c r="AJ72" s="97">
        <f t="shared" si="24"/>
        <v>0</v>
      </c>
      <c r="AK72" s="97">
        <f t="shared" si="24"/>
        <v>0</v>
      </c>
      <c r="AL72" s="196">
        <f t="shared" si="24"/>
        <v>0</v>
      </c>
      <c r="AM72" s="188">
        <f t="shared" si="25"/>
        <v>0</v>
      </c>
      <c r="AN72" s="97">
        <f t="shared" si="25"/>
        <v>0</v>
      </c>
      <c r="AO72" s="97">
        <f t="shared" si="25"/>
        <v>0</v>
      </c>
      <c r="AP72" s="97">
        <f t="shared" si="25"/>
        <v>0</v>
      </c>
      <c r="AQ72" s="97">
        <f t="shared" si="25"/>
        <v>0</v>
      </c>
      <c r="AR72" s="97">
        <f t="shared" si="25"/>
        <v>0</v>
      </c>
      <c r="AS72" s="97">
        <f t="shared" si="25"/>
        <v>0</v>
      </c>
      <c r="AT72" s="97">
        <f t="shared" si="25"/>
        <v>0</v>
      </c>
      <c r="AU72" s="97">
        <f t="shared" si="25"/>
        <v>0</v>
      </c>
      <c r="AV72" s="97">
        <f t="shared" si="25"/>
        <v>0</v>
      </c>
      <c r="AW72" s="189">
        <f t="shared" si="25"/>
        <v>0</v>
      </c>
      <c r="AX72" s="195">
        <f t="shared" si="26"/>
        <v>0</v>
      </c>
      <c r="AY72" s="97">
        <f t="shared" si="26"/>
        <v>0</v>
      </c>
      <c r="AZ72" s="97">
        <f t="shared" si="26"/>
        <v>0</v>
      </c>
      <c r="BA72" s="97">
        <f t="shared" si="26"/>
        <v>0</v>
      </c>
      <c r="BB72" s="97">
        <f t="shared" si="26"/>
        <v>0</v>
      </c>
      <c r="BC72" s="97">
        <f t="shared" si="26"/>
        <v>0</v>
      </c>
      <c r="BD72" s="97">
        <f t="shared" si="26"/>
        <v>0</v>
      </c>
      <c r="BE72" s="97">
        <f t="shared" si="26"/>
        <v>0</v>
      </c>
      <c r="BF72" s="97">
        <f t="shared" si="26"/>
        <v>0</v>
      </c>
      <c r="BG72" s="97">
        <f t="shared" si="26"/>
        <v>0</v>
      </c>
      <c r="BH72" s="196">
        <f t="shared" si="26"/>
        <v>0</v>
      </c>
      <c r="BI72" s="188">
        <f t="shared" si="27"/>
        <v>0</v>
      </c>
      <c r="BJ72" s="97">
        <f t="shared" si="27"/>
        <v>0</v>
      </c>
      <c r="BK72" s="97">
        <f t="shared" si="27"/>
        <v>0</v>
      </c>
      <c r="BL72" s="97">
        <f t="shared" si="27"/>
        <v>0</v>
      </c>
      <c r="BM72" s="97">
        <f t="shared" si="27"/>
        <v>0</v>
      </c>
      <c r="BN72" s="97">
        <f t="shared" si="27"/>
        <v>0</v>
      </c>
      <c r="BO72" s="97">
        <f t="shared" si="27"/>
        <v>0</v>
      </c>
      <c r="BP72" s="97">
        <f t="shared" si="27"/>
        <v>0</v>
      </c>
      <c r="BQ72" s="97">
        <f t="shared" si="27"/>
        <v>0</v>
      </c>
      <c r="BR72" s="97">
        <f t="shared" si="27"/>
        <v>0</v>
      </c>
      <c r="BS72" s="189">
        <f t="shared" si="27"/>
        <v>0</v>
      </c>
    </row>
    <row r="73" spans="1:71" x14ac:dyDescent="0.2">
      <c r="A73" s="153" t="s">
        <v>81</v>
      </c>
      <c r="B73" s="106">
        <f t="shared" si="21"/>
        <v>0</v>
      </c>
      <c r="C73" s="98">
        <f t="shared" si="22"/>
        <v>0</v>
      </c>
      <c r="D73" s="98">
        <f t="shared" si="11"/>
        <v>0</v>
      </c>
      <c r="E73" s="154">
        <f t="shared" si="12"/>
        <v>0</v>
      </c>
      <c r="F73" s="195">
        <f t="shared" si="13"/>
        <v>0</v>
      </c>
      <c r="G73" s="97">
        <f t="shared" si="13"/>
        <v>0</v>
      </c>
      <c r="H73" s="97">
        <f t="shared" si="13"/>
        <v>0</v>
      </c>
      <c r="I73" s="97">
        <f t="shared" si="13"/>
        <v>0</v>
      </c>
      <c r="J73" s="97">
        <f t="shared" si="13"/>
        <v>0</v>
      </c>
      <c r="K73" s="97">
        <f t="shared" si="13"/>
        <v>0</v>
      </c>
      <c r="L73" s="97">
        <f t="shared" si="13"/>
        <v>0</v>
      </c>
      <c r="M73" s="97">
        <f t="shared" si="13"/>
        <v>0</v>
      </c>
      <c r="N73" s="97">
        <f t="shared" si="13"/>
        <v>0</v>
      </c>
      <c r="O73" s="97">
        <f t="shared" si="13"/>
        <v>0</v>
      </c>
      <c r="P73" s="196">
        <f t="shared" si="13"/>
        <v>0</v>
      </c>
      <c r="Q73" s="188">
        <f t="shared" si="14"/>
        <v>0</v>
      </c>
      <c r="R73" s="97">
        <f t="shared" si="23"/>
        <v>0</v>
      </c>
      <c r="S73" s="97">
        <f t="shared" si="23"/>
        <v>0</v>
      </c>
      <c r="T73" s="97">
        <f t="shared" si="23"/>
        <v>0</v>
      </c>
      <c r="U73" s="97">
        <f t="shared" si="23"/>
        <v>0</v>
      </c>
      <c r="V73" s="97">
        <f t="shared" si="23"/>
        <v>0</v>
      </c>
      <c r="W73" s="97">
        <f t="shared" si="23"/>
        <v>0</v>
      </c>
      <c r="X73" s="97">
        <f t="shared" si="23"/>
        <v>0</v>
      </c>
      <c r="Y73" s="97">
        <f t="shared" si="23"/>
        <v>0</v>
      </c>
      <c r="Z73" s="97">
        <f t="shared" si="23"/>
        <v>0</v>
      </c>
      <c r="AA73" s="189">
        <f t="shared" si="23"/>
        <v>0</v>
      </c>
      <c r="AB73" s="195">
        <f t="shared" si="16"/>
        <v>0</v>
      </c>
      <c r="AC73" s="97">
        <f t="shared" si="24"/>
        <v>0</v>
      </c>
      <c r="AD73" s="97">
        <f t="shared" si="24"/>
        <v>0</v>
      </c>
      <c r="AE73" s="97">
        <f t="shared" si="24"/>
        <v>0</v>
      </c>
      <c r="AF73" s="97">
        <f t="shared" si="24"/>
        <v>0</v>
      </c>
      <c r="AG73" s="97">
        <f t="shared" si="24"/>
        <v>0</v>
      </c>
      <c r="AH73" s="97">
        <f t="shared" si="24"/>
        <v>0</v>
      </c>
      <c r="AI73" s="97">
        <f t="shared" si="24"/>
        <v>0</v>
      </c>
      <c r="AJ73" s="97">
        <f t="shared" si="24"/>
        <v>0</v>
      </c>
      <c r="AK73" s="97">
        <f t="shared" si="24"/>
        <v>0</v>
      </c>
      <c r="AL73" s="196">
        <f t="shared" si="24"/>
        <v>0</v>
      </c>
      <c r="AM73" s="188">
        <f t="shared" si="25"/>
        <v>0</v>
      </c>
      <c r="AN73" s="97">
        <f t="shared" si="25"/>
        <v>0</v>
      </c>
      <c r="AO73" s="97">
        <f t="shared" si="25"/>
        <v>0</v>
      </c>
      <c r="AP73" s="97">
        <f t="shared" si="25"/>
        <v>0</v>
      </c>
      <c r="AQ73" s="97">
        <f t="shared" si="25"/>
        <v>0</v>
      </c>
      <c r="AR73" s="97">
        <f t="shared" si="25"/>
        <v>0</v>
      </c>
      <c r="AS73" s="97">
        <f t="shared" si="25"/>
        <v>0</v>
      </c>
      <c r="AT73" s="97">
        <f t="shared" si="25"/>
        <v>0</v>
      </c>
      <c r="AU73" s="97">
        <f t="shared" si="25"/>
        <v>0</v>
      </c>
      <c r="AV73" s="97">
        <f t="shared" si="25"/>
        <v>0</v>
      </c>
      <c r="AW73" s="189">
        <f t="shared" si="25"/>
        <v>0</v>
      </c>
      <c r="AX73" s="195">
        <f t="shared" si="26"/>
        <v>0</v>
      </c>
      <c r="AY73" s="97">
        <f t="shared" si="26"/>
        <v>0</v>
      </c>
      <c r="AZ73" s="97">
        <f t="shared" si="26"/>
        <v>0</v>
      </c>
      <c r="BA73" s="97">
        <f t="shared" si="26"/>
        <v>0</v>
      </c>
      <c r="BB73" s="97">
        <f t="shared" si="26"/>
        <v>0</v>
      </c>
      <c r="BC73" s="97">
        <f t="shared" si="26"/>
        <v>0</v>
      </c>
      <c r="BD73" s="97">
        <f t="shared" si="26"/>
        <v>0</v>
      </c>
      <c r="BE73" s="97">
        <f t="shared" si="26"/>
        <v>0</v>
      </c>
      <c r="BF73" s="97">
        <f t="shared" si="26"/>
        <v>0</v>
      </c>
      <c r="BG73" s="97">
        <f t="shared" si="26"/>
        <v>0</v>
      </c>
      <c r="BH73" s="196">
        <f t="shared" si="26"/>
        <v>0</v>
      </c>
      <c r="BI73" s="188">
        <f t="shared" si="27"/>
        <v>0</v>
      </c>
      <c r="BJ73" s="97">
        <f t="shared" si="27"/>
        <v>0</v>
      </c>
      <c r="BK73" s="97">
        <f t="shared" si="27"/>
        <v>0</v>
      </c>
      <c r="BL73" s="97">
        <f t="shared" si="27"/>
        <v>0</v>
      </c>
      <c r="BM73" s="97">
        <f t="shared" si="27"/>
        <v>0</v>
      </c>
      <c r="BN73" s="97">
        <f t="shared" si="27"/>
        <v>0</v>
      </c>
      <c r="BO73" s="97">
        <f t="shared" si="27"/>
        <v>0</v>
      </c>
      <c r="BP73" s="97">
        <f t="shared" si="27"/>
        <v>0</v>
      </c>
      <c r="BQ73" s="97">
        <f t="shared" si="27"/>
        <v>0</v>
      </c>
      <c r="BR73" s="97">
        <f t="shared" si="27"/>
        <v>0</v>
      </c>
      <c r="BS73" s="189">
        <f t="shared" si="27"/>
        <v>0</v>
      </c>
    </row>
    <row r="74" spans="1:71" x14ac:dyDescent="0.2">
      <c r="A74" s="153" t="s">
        <v>82</v>
      </c>
      <c r="B74" s="106">
        <f t="shared" si="21"/>
        <v>0</v>
      </c>
      <c r="C74" s="98">
        <f t="shared" si="22"/>
        <v>0</v>
      </c>
      <c r="D74" s="98">
        <f t="shared" si="11"/>
        <v>0</v>
      </c>
      <c r="E74" s="154">
        <f t="shared" si="12"/>
        <v>0</v>
      </c>
      <c r="F74" s="195">
        <f t="shared" si="13"/>
        <v>0</v>
      </c>
      <c r="G74" s="97">
        <f t="shared" si="13"/>
        <v>0</v>
      </c>
      <c r="H74" s="97">
        <f t="shared" si="13"/>
        <v>0</v>
      </c>
      <c r="I74" s="97">
        <f t="shared" si="13"/>
        <v>0</v>
      </c>
      <c r="J74" s="97">
        <f t="shared" si="13"/>
        <v>0</v>
      </c>
      <c r="K74" s="97">
        <f t="shared" si="13"/>
        <v>0</v>
      </c>
      <c r="L74" s="97">
        <f t="shared" si="13"/>
        <v>0</v>
      </c>
      <c r="M74" s="97">
        <f t="shared" si="13"/>
        <v>0</v>
      </c>
      <c r="N74" s="97">
        <f t="shared" si="13"/>
        <v>0</v>
      </c>
      <c r="O74" s="97">
        <f t="shared" si="13"/>
        <v>0</v>
      </c>
      <c r="P74" s="196">
        <f t="shared" si="13"/>
        <v>0</v>
      </c>
      <c r="Q74" s="188">
        <f t="shared" si="14"/>
        <v>0</v>
      </c>
      <c r="R74" s="97">
        <f t="shared" si="23"/>
        <v>0</v>
      </c>
      <c r="S74" s="97">
        <f t="shared" si="23"/>
        <v>0</v>
      </c>
      <c r="T74" s="97">
        <f t="shared" si="23"/>
        <v>0</v>
      </c>
      <c r="U74" s="97">
        <f t="shared" si="23"/>
        <v>0</v>
      </c>
      <c r="V74" s="97">
        <f t="shared" si="23"/>
        <v>0</v>
      </c>
      <c r="W74" s="97">
        <f t="shared" si="23"/>
        <v>0</v>
      </c>
      <c r="X74" s="97">
        <f t="shared" si="23"/>
        <v>0</v>
      </c>
      <c r="Y74" s="97">
        <f t="shared" si="23"/>
        <v>0</v>
      </c>
      <c r="Z74" s="97">
        <f t="shared" si="23"/>
        <v>0</v>
      </c>
      <c r="AA74" s="189">
        <f t="shared" si="23"/>
        <v>0</v>
      </c>
      <c r="AB74" s="195">
        <f t="shared" si="16"/>
        <v>0</v>
      </c>
      <c r="AC74" s="97">
        <f t="shared" si="24"/>
        <v>0</v>
      </c>
      <c r="AD74" s="97">
        <f t="shared" si="24"/>
        <v>0</v>
      </c>
      <c r="AE74" s="97">
        <f t="shared" si="24"/>
        <v>0</v>
      </c>
      <c r="AF74" s="97">
        <f t="shared" si="24"/>
        <v>0</v>
      </c>
      <c r="AG74" s="97">
        <f t="shared" si="24"/>
        <v>0</v>
      </c>
      <c r="AH74" s="97">
        <f t="shared" si="24"/>
        <v>0</v>
      </c>
      <c r="AI74" s="97">
        <f t="shared" si="24"/>
        <v>0</v>
      </c>
      <c r="AJ74" s="97">
        <f t="shared" si="24"/>
        <v>0</v>
      </c>
      <c r="AK74" s="97">
        <f t="shared" si="24"/>
        <v>0</v>
      </c>
      <c r="AL74" s="196">
        <f t="shared" si="24"/>
        <v>0</v>
      </c>
      <c r="AM74" s="188">
        <f t="shared" si="25"/>
        <v>0</v>
      </c>
      <c r="AN74" s="97">
        <f t="shared" si="25"/>
        <v>0</v>
      </c>
      <c r="AO74" s="97">
        <f t="shared" si="25"/>
        <v>0</v>
      </c>
      <c r="AP74" s="97">
        <f t="shared" si="25"/>
        <v>0</v>
      </c>
      <c r="AQ74" s="97">
        <f t="shared" si="25"/>
        <v>0</v>
      </c>
      <c r="AR74" s="97">
        <f t="shared" si="25"/>
        <v>0</v>
      </c>
      <c r="AS74" s="97">
        <f t="shared" si="25"/>
        <v>0</v>
      </c>
      <c r="AT74" s="97">
        <f t="shared" si="25"/>
        <v>0</v>
      </c>
      <c r="AU74" s="97">
        <f t="shared" si="25"/>
        <v>0</v>
      </c>
      <c r="AV74" s="97">
        <f t="shared" si="25"/>
        <v>0</v>
      </c>
      <c r="AW74" s="189">
        <f t="shared" si="25"/>
        <v>0</v>
      </c>
      <c r="AX74" s="195">
        <f t="shared" si="26"/>
        <v>0</v>
      </c>
      <c r="AY74" s="97">
        <f t="shared" si="26"/>
        <v>0</v>
      </c>
      <c r="AZ74" s="97">
        <f t="shared" si="26"/>
        <v>0</v>
      </c>
      <c r="BA74" s="97">
        <f t="shared" si="26"/>
        <v>0</v>
      </c>
      <c r="BB74" s="97">
        <f t="shared" si="26"/>
        <v>0</v>
      </c>
      <c r="BC74" s="97">
        <f t="shared" si="26"/>
        <v>0</v>
      </c>
      <c r="BD74" s="97">
        <f t="shared" si="26"/>
        <v>0</v>
      </c>
      <c r="BE74" s="97">
        <f t="shared" si="26"/>
        <v>0</v>
      </c>
      <c r="BF74" s="97">
        <f t="shared" si="26"/>
        <v>0</v>
      </c>
      <c r="BG74" s="97">
        <f t="shared" si="26"/>
        <v>0</v>
      </c>
      <c r="BH74" s="196">
        <f t="shared" si="26"/>
        <v>0</v>
      </c>
      <c r="BI74" s="188">
        <f t="shared" si="27"/>
        <v>0</v>
      </c>
      <c r="BJ74" s="97">
        <f t="shared" si="27"/>
        <v>0</v>
      </c>
      <c r="BK74" s="97">
        <f t="shared" si="27"/>
        <v>0</v>
      </c>
      <c r="BL74" s="97">
        <f t="shared" si="27"/>
        <v>0</v>
      </c>
      <c r="BM74" s="97">
        <f t="shared" si="27"/>
        <v>0</v>
      </c>
      <c r="BN74" s="97">
        <f t="shared" si="27"/>
        <v>0</v>
      </c>
      <c r="BO74" s="97">
        <f t="shared" si="27"/>
        <v>0</v>
      </c>
      <c r="BP74" s="97">
        <f t="shared" si="27"/>
        <v>0</v>
      </c>
      <c r="BQ74" s="97">
        <f t="shared" si="27"/>
        <v>0</v>
      </c>
      <c r="BR74" s="97">
        <f t="shared" si="27"/>
        <v>0</v>
      </c>
      <c r="BS74" s="189">
        <f t="shared" si="27"/>
        <v>0</v>
      </c>
    </row>
    <row r="75" spans="1:71" x14ac:dyDescent="0.2">
      <c r="A75" s="153" t="s">
        <v>83</v>
      </c>
      <c r="B75" s="106">
        <f t="shared" si="21"/>
        <v>0</v>
      </c>
      <c r="C75" s="98">
        <f t="shared" si="22"/>
        <v>0</v>
      </c>
      <c r="D75" s="98">
        <f t="shared" si="11"/>
        <v>0</v>
      </c>
      <c r="E75" s="154">
        <f t="shared" si="12"/>
        <v>0</v>
      </c>
      <c r="F75" s="195">
        <f t="shared" si="13"/>
        <v>0</v>
      </c>
      <c r="G75" s="97">
        <f t="shared" si="13"/>
        <v>0</v>
      </c>
      <c r="H75" s="97">
        <f t="shared" si="13"/>
        <v>0</v>
      </c>
      <c r="I75" s="97">
        <f t="shared" si="13"/>
        <v>0</v>
      </c>
      <c r="J75" s="97">
        <f t="shared" si="13"/>
        <v>0</v>
      </c>
      <c r="K75" s="97">
        <f t="shared" si="13"/>
        <v>0</v>
      </c>
      <c r="L75" s="97">
        <f t="shared" si="13"/>
        <v>0</v>
      </c>
      <c r="M75" s="97">
        <f t="shared" si="13"/>
        <v>0</v>
      </c>
      <c r="N75" s="97">
        <f t="shared" si="13"/>
        <v>0</v>
      </c>
      <c r="O75" s="97">
        <f t="shared" si="13"/>
        <v>0</v>
      </c>
      <c r="P75" s="196">
        <f t="shared" si="13"/>
        <v>0</v>
      </c>
      <c r="Q75" s="188">
        <f t="shared" si="14"/>
        <v>0</v>
      </c>
      <c r="R75" s="97">
        <f t="shared" si="23"/>
        <v>0</v>
      </c>
      <c r="S75" s="97">
        <f t="shared" si="23"/>
        <v>0</v>
      </c>
      <c r="T75" s="97">
        <f t="shared" si="23"/>
        <v>0</v>
      </c>
      <c r="U75" s="97">
        <f t="shared" si="23"/>
        <v>0</v>
      </c>
      <c r="V75" s="97">
        <f t="shared" si="23"/>
        <v>0</v>
      </c>
      <c r="W75" s="97">
        <f t="shared" si="23"/>
        <v>0</v>
      </c>
      <c r="X75" s="97">
        <f t="shared" si="23"/>
        <v>0</v>
      </c>
      <c r="Y75" s="97">
        <f t="shared" si="23"/>
        <v>0</v>
      </c>
      <c r="Z75" s="97">
        <f t="shared" si="23"/>
        <v>0</v>
      </c>
      <c r="AA75" s="189">
        <f t="shared" si="23"/>
        <v>0</v>
      </c>
      <c r="AB75" s="195">
        <f t="shared" si="16"/>
        <v>0</v>
      </c>
      <c r="AC75" s="97">
        <f t="shared" si="24"/>
        <v>0</v>
      </c>
      <c r="AD75" s="97">
        <f t="shared" si="24"/>
        <v>0</v>
      </c>
      <c r="AE75" s="97">
        <f t="shared" si="24"/>
        <v>0</v>
      </c>
      <c r="AF75" s="97">
        <f t="shared" si="24"/>
        <v>0</v>
      </c>
      <c r="AG75" s="97">
        <f t="shared" si="24"/>
        <v>0</v>
      </c>
      <c r="AH75" s="97">
        <f t="shared" si="24"/>
        <v>0</v>
      </c>
      <c r="AI75" s="97">
        <f t="shared" si="24"/>
        <v>0</v>
      </c>
      <c r="AJ75" s="97">
        <f t="shared" si="24"/>
        <v>0</v>
      </c>
      <c r="AK75" s="97">
        <f t="shared" si="24"/>
        <v>0</v>
      </c>
      <c r="AL75" s="196">
        <f t="shared" si="24"/>
        <v>0</v>
      </c>
      <c r="AM75" s="188">
        <f t="shared" si="25"/>
        <v>0</v>
      </c>
      <c r="AN75" s="97">
        <f t="shared" si="25"/>
        <v>0</v>
      </c>
      <c r="AO75" s="97">
        <f t="shared" si="25"/>
        <v>0</v>
      </c>
      <c r="AP75" s="97">
        <f t="shared" si="25"/>
        <v>0</v>
      </c>
      <c r="AQ75" s="97">
        <f t="shared" si="25"/>
        <v>0</v>
      </c>
      <c r="AR75" s="97">
        <f t="shared" si="25"/>
        <v>0</v>
      </c>
      <c r="AS75" s="97">
        <f t="shared" si="25"/>
        <v>0</v>
      </c>
      <c r="AT75" s="97">
        <f t="shared" si="25"/>
        <v>0</v>
      </c>
      <c r="AU75" s="97">
        <f t="shared" si="25"/>
        <v>0</v>
      </c>
      <c r="AV75" s="97">
        <f t="shared" si="25"/>
        <v>0</v>
      </c>
      <c r="AW75" s="189">
        <f t="shared" si="25"/>
        <v>0</v>
      </c>
      <c r="AX75" s="195">
        <f t="shared" si="26"/>
        <v>0</v>
      </c>
      <c r="AY75" s="97">
        <f t="shared" si="26"/>
        <v>0</v>
      </c>
      <c r="AZ75" s="97">
        <f t="shared" si="26"/>
        <v>0</v>
      </c>
      <c r="BA75" s="97">
        <f t="shared" si="26"/>
        <v>0</v>
      </c>
      <c r="BB75" s="97">
        <f t="shared" si="26"/>
        <v>0</v>
      </c>
      <c r="BC75" s="97">
        <f t="shared" si="26"/>
        <v>0</v>
      </c>
      <c r="BD75" s="97">
        <f t="shared" si="26"/>
        <v>0</v>
      </c>
      <c r="BE75" s="97">
        <f t="shared" si="26"/>
        <v>0</v>
      </c>
      <c r="BF75" s="97">
        <f t="shared" si="26"/>
        <v>0</v>
      </c>
      <c r="BG75" s="97">
        <f t="shared" si="26"/>
        <v>0</v>
      </c>
      <c r="BH75" s="196">
        <f t="shared" si="26"/>
        <v>0</v>
      </c>
      <c r="BI75" s="188">
        <f t="shared" si="27"/>
        <v>0</v>
      </c>
      <c r="BJ75" s="97">
        <f t="shared" si="27"/>
        <v>0</v>
      </c>
      <c r="BK75" s="97">
        <f t="shared" si="27"/>
        <v>0</v>
      </c>
      <c r="BL75" s="97">
        <f t="shared" si="27"/>
        <v>0</v>
      </c>
      <c r="BM75" s="97">
        <f t="shared" si="27"/>
        <v>0</v>
      </c>
      <c r="BN75" s="97">
        <f t="shared" si="27"/>
        <v>0</v>
      </c>
      <c r="BO75" s="97">
        <f t="shared" si="27"/>
        <v>0</v>
      </c>
      <c r="BP75" s="97">
        <f t="shared" si="27"/>
        <v>0</v>
      </c>
      <c r="BQ75" s="97">
        <f t="shared" si="27"/>
        <v>0</v>
      </c>
      <c r="BR75" s="97">
        <f t="shared" si="27"/>
        <v>0</v>
      </c>
      <c r="BS75" s="189">
        <f t="shared" si="27"/>
        <v>0</v>
      </c>
    </row>
    <row r="76" spans="1:71" ht="13.5" thickBot="1" x14ac:dyDescent="0.25">
      <c r="A76" s="155" t="s">
        <v>84</v>
      </c>
      <c r="B76" s="156">
        <f t="shared" si="21"/>
        <v>0</v>
      </c>
      <c r="C76" s="157">
        <f t="shared" si="22"/>
        <v>0</v>
      </c>
      <c r="D76" s="157">
        <f t="shared" si="11"/>
        <v>0</v>
      </c>
      <c r="E76" s="158">
        <f t="shared" si="12"/>
        <v>0</v>
      </c>
      <c r="F76" s="197">
        <f t="shared" si="13"/>
        <v>0</v>
      </c>
      <c r="G76" s="191">
        <f t="shared" si="13"/>
        <v>0</v>
      </c>
      <c r="H76" s="191">
        <f t="shared" si="13"/>
        <v>0</v>
      </c>
      <c r="I76" s="191">
        <f t="shared" si="13"/>
        <v>0</v>
      </c>
      <c r="J76" s="191">
        <f t="shared" si="13"/>
        <v>0</v>
      </c>
      <c r="K76" s="191">
        <f t="shared" si="13"/>
        <v>0</v>
      </c>
      <c r="L76" s="191">
        <f t="shared" si="13"/>
        <v>0</v>
      </c>
      <c r="M76" s="191">
        <f t="shared" si="13"/>
        <v>0</v>
      </c>
      <c r="N76" s="191">
        <f t="shared" si="13"/>
        <v>0</v>
      </c>
      <c r="O76" s="191">
        <f t="shared" si="13"/>
        <v>0</v>
      </c>
      <c r="P76" s="198">
        <f t="shared" si="13"/>
        <v>0</v>
      </c>
      <c r="Q76" s="190">
        <f t="shared" si="14"/>
        <v>0</v>
      </c>
      <c r="R76" s="191">
        <f t="shared" si="23"/>
        <v>0</v>
      </c>
      <c r="S76" s="191">
        <f t="shared" si="23"/>
        <v>0</v>
      </c>
      <c r="T76" s="191">
        <f t="shared" si="23"/>
        <v>0</v>
      </c>
      <c r="U76" s="191">
        <f t="shared" si="23"/>
        <v>0</v>
      </c>
      <c r="V76" s="191">
        <f t="shared" si="23"/>
        <v>0</v>
      </c>
      <c r="W76" s="191">
        <f t="shared" si="23"/>
        <v>0</v>
      </c>
      <c r="X76" s="191">
        <f t="shared" si="23"/>
        <v>0</v>
      </c>
      <c r="Y76" s="191">
        <f t="shared" si="23"/>
        <v>0</v>
      </c>
      <c r="Z76" s="191">
        <f t="shared" si="23"/>
        <v>0</v>
      </c>
      <c r="AA76" s="192">
        <f t="shared" si="23"/>
        <v>0</v>
      </c>
      <c r="AB76" s="197">
        <f t="shared" si="16"/>
        <v>0</v>
      </c>
      <c r="AC76" s="191">
        <f t="shared" si="24"/>
        <v>0</v>
      </c>
      <c r="AD76" s="191">
        <f t="shared" si="24"/>
        <v>0</v>
      </c>
      <c r="AE76" s="191">
        <f t="shared" si="24"/>
        <v>0</v>
      </c>
      <c r="AF76" s="191">
        <f t="shared" si="24"/>
        <v>0</v>
      </c>
      <c r="AG76" s="191">
        <f t="shared" si="24"/>
        <v>0</v>
      </c>
      <c r="AH76" s="191">
        <f t="shared" si="24"/>
        <v>0</v>
      </c>
      <c r="AI76" s="191">
        <f t="shared" si="24"/>
        <v>0</v>
      </c>
      <c r="AJ76" s="191">
        <f t="shared" si="24"/>
        <v>0</v>
      </c>
      <c r="AK76" s="191">
        <f t="shared" si="24"/>
        <v>0</v>
      </c>
      <c r="AL76" s="198">
        <f t="shared" si="24"/>
        <v>0</v>
      </c>
      <c r="AM76" s="190">
        <f t="shared" si="25"/>
        <v>0</v>
      </c>
      <c r="AN76" s="191">
        <f t="shared" si="25"/>
        <v>0</v>
      </c>
      <c r="AO76" s="191">
        <f t="shared" si="25"/>
        <v>0</v>
      </c>
      <c r="AP76" s="191">
        <f t="shared" si="25"/>
        <v>0</v>
      </c>
      <c r="AQ76" s="191">
        <f t="shared" si="25"/>
        <v>0</v>
      </c>
      <c r="AR76" s="191">
        <f t="shared" si="25"/>
        <v>0</v>
      </c>
      <c r="AS76" s="191">
        <f t="shared" si="25"/>
        <v>0</v>
      </c>
      <c r="AT76" s="191">
        <f t="shared" si="25"/>
        <v>0</v>
      </c>
      <c r="AU76" s="191">
        <f t="shared" si="25"/>
        <v>0</v>
      </c>
      <c r="AV76" s="191">
        <f t="shared" si="25"/>
        <v>0</v>
      </c>
      <c r="AW76" s="192">
        <f t="shared" si="25"/>
        <v>0</v>
      </c>
      <c r="AX76" s="197">
        <f t="shared" si="26"/>
        <v>0</v>
      </c>
      <c r="AY76" s="191">
        <f t="shared" si="26"/>
        <v>0</v>
      </c>
      <c r="AZ76" s="191">
        <f t="shared" si="26"/>
        <v>0</v>
      </c>
      <c r="BA76" s="191">
        <f t="shared" si="26"/>
        <v>0</v>
      </c>
      <c r="BB76" s="191">
        <f t="shared" si="26"/>
        <v>0</v>
      </c>
      <c r="BC76" s="191">
        <f t="shared" si="26"/>
        <v>0</v>
      </c>
      <c r="BD76" s="191">
        <f t="shared" si="26"/>
        <v>0</v>
      </c>
      <c r="BE76" s="191">
        <f t="shared" si="26"/>
        <v>0</v>
      </c>
      <c r="BF76" s="191">
        <f t="shared" si="26"/>
        <v>0</v>
      </c>
      <c r="BG76" s="191">
        <f t="shared" si="26"/>
        <v>0</v>
      </c>
      <c r="BH76" s="198">
        <f t="shared" si="26"/>
        <v>0</v>
      </c>
      <c r="BI76" s="190">
        <f t="shared" si="27"/>
        <v>0</v>
      </c>
      <c r="BJ76" s="191">
        <f t="shared" si="27"/>
        <v>0</v>
      </c>
      <c r="BK76" s="191">
        <f t="shared" si="27"/>
        <v>0</v>
      </c>
      <c r="BL76" s="191">
        <f t="shared" si="27"/>
        <v>0</v>
      </c>
      <c r="BM76" s="191">
        <f t="shared" si="27"/>
        <v>0</v>
      </c>
      <c r="BN76" s="191">
        <f t="shared" si="27"/>
        <v>0</v>
      </c>
      <c r="BO76" s="191">
        <f t="shared" si="27"/>
        <v>0</v>
      </c>
      <c r="BP76" s="191">
        <f t="shared" si="27"/>
        <v>0</v>
      </c>
      <c r="BQ76" s="191">
        <f t="shared" si="27"/>
        <v>0</v>
      </c>
      <c r="BR76" s="191">
        <f t="shared" si="27"/>
        <v>0</v>
      </c>
      <c r="BS76" s="192">
        <f t="shared" si="27"/>
        <v>0</v>
      </c>
    </row>
    <row r="77" spans="1:71" x14ac:dyDescent="0.2">
      <c r="E77" s="108" t="s">
        <v>300</v>
      </c>
      <c r="F77" s="212">
        <f>SUM(F67:F76)</f>
        <v>0</v>
      </c>
      <c r="G77" s="213">
        <f t="shared" ref="G77:Q77" si="28">SUM(G67:G76)</f>
        <v>0</v>
      </c>
      <c r="H77" s="213">
        <f t="shared" si="28"/>
        <v>0</v>
      </c>
      <c r="I77" s="213">
        <f t="shared" si="28"/>
        <v>0</v>
      </c>
      <c r="J77" s="213">
        <f t="shared" si="28"/>
        <v>0</v>
      </c>
      <c r="K77" s="213">
        <f t="shared" si="28"/>
        <v>0</v>
      </c>
      <c r="L77" s="213">
        <f t="shared" si="28"/>
        <v>0</v>
      </c>
      <c r="M77" s="213">
        <f t="shared" si="28"/>
        <v>0</v>
      </c>
      <c r="N77" s="213">
        <f t="shared" si="28"/>
        <v>0</v>
      </c>
      <c r="O77" s="213">
        <f t="shared" si="28"/>
        <v>0</v>
      </c>
      <c r="P77" s="214">
        <f t="shared" si="28"/>
        <v>0</v>
      </c>
      <c r="Q77" s="212">
        <f t="shared" si="28"/>
        <v>0</v>
      </c>
      <c r="R77" s="213">
        <f t="shared" ref="R77" si="29">SUM(R67:R76)</f>
        <v>0</v>
      </c>
      <c r="S77" s="213">
        <f t="shared" ref="S77" si="30">SUM(S67:S76)</f>
        <v>0</v>
      </c>
      <c r="T77" s="213">
        <f t="shared" ref="T77" si="31">SUM(T67:T76)</f>
        <v>0</v>
      </c>
      <c r="U77" s="213">
        <f t="shared" ref="U77" si="32">SUM(U67:U76)</f>
        <v>0</v>
      </c>
      <c r="V77" s="213">
        <f t="shared" ref="V77" si="33">SUM(V67:V76)</f>
        <v>0</v>
      </c>
      <c r="W77" s="213">
        <f t="shared" ref="W77" si="34">SUM(W67:W76)</f>
        <v>0</v>
      </c>
      <c r="X77" s="213">
        <f t="shared" ref="X77" si="35">SUM(X67:X76)</f>
        <v>0</v>
      </c>
      <c r="Y77" s="213">
        <f t="shared" ref="Y77" si="36">SUM(Y67:Y76)</f>
        <v>0</v>
      </c>
      <c r="Z77" s="213">
        <f t="shared" ref="Z77" si="37">SUM(Z67:Z76)</f>
        <v>0</v>
      </c>
      <c r="AA77" s="221">
        <f t="shared" ref="AA77" si="38">SUM(AA67:AA76)</f>
        <v>0</v>
      </c>
      <c r="AB77" s="222">
        <f>SUM(AB67:AB76)</f>
        <v>0</v>
      </c>
      <c r="AC77" s="213">
        <f t="shared" ref="AC77" si="39">SUM(AC67:AC76)</f>
        <v>0</v>
      </c>
      <c r="AD77" s="213">
        <f t="shared" ref="AD77" si="40">SUM(AD67:AD76)</f>
        <v>0</v>
      </c>
      <c r="AE77" s="213">
        <f t="shared" ref="AE77" si="41">SUM(AE67:AE76)</f>
        <v>0</v>
      </c>
      <c r="AF77" s="213">
        <f t="shared" ref="AF77" si="42">SUM(AF67:AF76)</f>
        <v>0</v>
      </c>
      <c r="AG77" s="213">
        <f t="shared" ref="AG77" si="43">SUM(AG67:AG76)</f>
        <v>0</v>
      </c>
      <c r="AH77" s="213">
        <f t="shared" ref="AH77" si="44">SUM(AH67:AH76)</f>
        <v>0</v>
      </c>
      <c r="AI77" s="213">
        <f t="shared" ref="AI77" si="45">SUM(AI67:AI76)</f>
        <v>0</v>
      </c>
      <c r="AJ77" s="213">
        <f t="shared" ref="AJ77" si="46">SUM(AJ67:AJ76)</f>
        <v>0</v>
      </c>
      <c r="AK77" s="213">
        <f t="shared" ref="AK77" si="47">SUM(AK67:AK76)</f>
        <v>0</v>
      </c>
      <c r="AL77" s="214">
        <f t="shared" ref="AL77:AM77" si="48">SUM(AL67:AL76)</f>
        <v>0</v>
      </c>
      <c r="AM77" s="212">
        <f t="shared" si="48"/>
        <v>0</v>
      </c>
      <c r="AN77" s="213">
        <f t="shared" ref="AN77" si="49">SUM(AN67:AN76)</f>
        <v>0</v>
      </c>
      <c r="AO77" s="213">
        <f t="shared" ref="AO77" si="50">SUM(AO67:AO76)</f>
        <v>0</v>
      </c>
      <c r="AP77" s="213">
        <f t="shared" ref="AP77" si="51">SUM(AP67:AP76)</f>
        <v>0</v>
      </c>
      <c r="AQ77" s="213">
        <f t="shared" ref="AQ77" si="52">SUM(AQ67:AQ76)</f>
        <v>0</v>
      </c>
      <c r="AR77" s="213">
        <f t="shared" ref="AR77" si="53">SUM(AR67:AR76)</f>
        <v>0</v>
      </c>
      <c r="AS77" s="213">
        <f t="shared" ref="AS77" si="54">SUM(AS67:AS76)</f>
        <v>0</v>
      </c>
      <c r="AT77" s="213">
        <f t="shared" ref="AT77" si="55">SUM(AT67:AT76)</f>
        <v>0</v>
      </c>
      <c r="AU77" s="213">
        <f t="shared" ref="AU77" si="56">SUM(AU67:AU76)</f>
        <v>0</v>
      </c>
      <c r="AV77" s="213">
        <f t="shared" ref="AV77" si="57">SUM(AV67:AV76)</f>
        <v>0</v>
      </c>
      <c r="AW77" s="221">
        <f t="shared" ref="AW77:AX77" si="58">SUM(AW67:AW76)</f>
        <v>0</v>
      </c>
      <c r="AX77" s="222">
        <f t="shared" si="58"/>
        <v>0</v>
      </c>
      <c r="AY77" s="213">
        <f t="shared" ref="AY77" si="59">SUM(AY67:AY76)</f>
        <v>0</v>
      </c>
      <c r="AZ77" s="213">
        <f t="shared" ref="AZ77" si="60">SUM(AZ67:AZ76)</f>
        <v>0</v>
      </c>
      <c r="BA77" s="213">
        <f t="shared" ref="BA77" si="61">SUM(BA67:BA76)</f>
        <v>0</v>
      </c>
      <c r="BB77" s="213">
        <f t="shared" ref="BB77" si="62">SUM(BB67:BB76)</f>
        <v>0</v>
      </c>
      <c r="BC77" s="213">
        <f t="shared" ref="BC77" si="63">SUM(BC67:BC76)</f>
        <v>0</v>
      </c>
      <c r="BD77" s="213">
        <f t="shared" ref="BD77" si="64">SUM(BD67:BD76)</f>
        <v>0</v>
      </c>
      <c r="BE77" s="213">
        <f t="shared" ref="BE77" si="65">SUM(BE67:BE76)</f>
        <v>0</v>
      </c>
      <c r="BF77" s="213">
        <f t="shared" ref="BF77" si="66">SUM(BF67:BF76)</f>
        <v>0</v>
      </c>
      <c r="BG77" s="213">
        <f t="shared" ref="BG77" si="67">SUM(BG67:BG76)</f>
        <v>0</v>
      </c>
      <c r="BH77" s="214">
        <f t="shared" ref="BH77:BI77" si="68">SUM(BH67:BH76)</f>
        <v>0</v>
      </c>
      <c r="BI77" s="212">
        <f t="shared" si="68"/>
        <v>0</v>
      </c>
      <c r="BJ77" s="213">
        <f t="shared" ref="BJ77" si="69">SUM(BJ67:BJ76)</f>
        <v>0</v>
      </c>
      <c r="BK77" s="213">
        <f t="shared" ref="BK77" si="70">SUM(BK67:BK76)</f>
        <v>0</v>
      </c>
      <c r="BL77" s="213">
        <f t="shared" ref="BL77" si="71">SUM(BL67:BL76)</f>
        <v>0</v>
      </c>
      <c r="BM77" s="213">
        <f t="shared" ref="BM77" si="72">SUM(BM67:BM76)</f>
        <v>0</v>
      </c>
      <c r="BN77" s="213">
        <f t="shared" ref="BN77" si="73">SUM(BN67:BN76)</f>
        <v>0</v>
      </c>
      <c r="BO77" s="213">
        <f t="shared" ref="BO77" si="74">SUM(BO67:BO76)</f>
        <v>0</v>
      </c>
      <c r="BP77" s="213">
        <f t="shared" ref="BP77" si="75">SUM(BP67:BP76)</f>
        <v>0</v>
      </c>
      <c r="BQ77" s="213">
        <f t="shared" ref="BQ77" si="76">SUM(BQ67:BQ76)</f>
        <v>0</v>
      </c>
      <c r="BR77" s="213">
        <f t="shared" ref="BR77" si="77">SUM(BR67:BR76)</f>
        <v>0</v>
      </c>
      <c r="BS77" s="221">
        <f t="shared" ref="BS77" si="78">SUM(BS67:BS76)</f>
        <v>0</v>
      </c>
    </row>
    <row r="78" spans="1:71" x14ac:dyDescent="0.2">
      <c r="E78" s="108" t="s">
        <v>301</v>
      </c>
      <c r="F78" s="215" t="e">
        <f>VLOOKUP($D$8,'Mast Arm Capacity'!$A$16:$BO$22,F65,0)</f>
        <v>#N/A</v>
      </c>
      <c r="G78" s="216" t="e">
        <f>VLOOKUP($D$8,'Mast Arm Capacity'!$A$16:$BO$22,G65,0)</f>
        <v>#N/A</v>
      </c>
      <c r="H78" s="216" t="e">
        <f>VLOOKUP($D$8,'Mast Arm Capacity'!$A$16:$BO$22,H65,0)</f>
        <v>#N/A</v>
      </c>
      <c r="I78" s="216" t="e">
        <f>VLOOKUP($D$8,'Mast Arm Capacity'!$A$16:$BO$22,I65,0)</f>
        <v>#N/A</v>
      </c>
      <c r="J78" s="216" t="e">
        <f>VLOOKUP($D$8,'Mast Arm Capacity'!$A$16:$BO$22,J65,0)</f>
        <v>#N/A</v>
      </c>
      <c r="K78" s="216" t="e">
        <f>VLOOKUP($D$8,'Mast Arm Capacity'!$A$16:$BO$22,K65,0)</f>
        <v>#N/A</v>
      </c>
      <c r="L78" s="216" t="e">
        <f>VLOOKUP($D$8,'Mast Arm Capacity'!$A$16:$BO$22,L65,0)</f>
        <v>#N/A</v>
      </c>
      <c r="M78" s="216" t="e">
        <f>VLOOKUP($D$8,'Mast Arm Capacity'!$A$16:$BO$22,M65,0)</f>
        <v>#N/A</v>
      </c>
      <c r="N78" s="216" t="e">
        <f>VLOOKUP($D$8,'Mast Arm Capacity'!$A$16:$BO$22,N65,0)</f>
        <v>#N/A</v>
      </c>
      <c r="O78" s="216" t="e">
        <f>VLOOKUP($D$8,'Mast Arm Capacity'!$A$16:$BO$22,O65,0)</f>
        <v>#N/A</v>
      </c>
      <c r="P78" s="217" t="e">
        <f>VLOOKUP($D$8,'Mast Arm Capacity'!$A$16:$BO$22,P65,0)</f>
        <v>#N/A</v>
      </c>
      <c r="Q78" s="215" t="e">
        <f>VLOOKUP($D$8,'Mast Arm Capacity'!$A$16:$BO$22,Q65,0)</f>
        <v>#N/A</v>
      </c>
      <c r="R78" s="216" t="e">
        <f>VLOOKUP($D$8,'Mast Arm Capacity'!$A$16:$BO$22,R65,0)</f>
        <v>#N/A</v>
      </c>
      <c r="S78" s="216" t="e">
        <f>VLOOKUP($D$8,'Mast Arm Capacity'!$A$16:$BO$22,S65,0)</f>
        <v>#N/A</v>
      </c>
      <c r="T78" s="216" t="e">
        <f>VLOOKUP($D$8,'Mast Arm Capacity'!$A$16:$BO$22,T65,0)</f>
        <v>#N/A</v>
      </c>
      <c r="U78" s="216" t="e">
        <f>VLOOKUP($D$8,'Mast Arm Capacity'!$A$16:$BO$22,U65,0)</f>
        <v>#N/A</v>
      </c>
      <c r="V78" s="216" t="e">
        <f>VLOOKUP($D$8,'Mast Arm Capacity'!$A$16:$BO$22,V65,0)</f>
        <v>#N/A</v>
      </c>
      <c r="W78" s="216" t="e">
        <f>VLOOKUP($D$8,'Mast Arm Capacity'!$A$16:$BO$22,W65,0)</f>
        <v>#N/A</v>
      </c>
      <c r="X78" s="216" t="e">
        <f>VLOOKUP($D$8,'Mast Arm Capacity'!$A$16:$BO$22,X65,0)</f>
        <v>#N/A</v>
      </c>
      <c r="Y78" s="216" t="e">
        <f>VLOOKUP($D$8,'Mast Arm Capacity'!$A$16:$BO$22,Y65,0)</f>
        <v>#N/A</v>
      </c>
      <c r="Z78" s="216" t="e">
        <f>VLOOKUP($D$8,'Mast Arm Capacity'!$A$16:$BO$22,Z65,0)</f>
        <v>#N/A</v>
      </c>
      <c r="AA78" s="223" t="e">
        <f>VLOOKUP($D$8,'Mast Arm Capacity'!$A$16:$BO$22,AA65,0)</f>
        <v>#N/A</v>
      </c>
      <c r="AB78" s="224" t="e">
        <f>VLOOKUP($D$8,'Mast Arm Capacity'!$A$16:$BO$22,AB65,0)</f>
        <v>#N/A</v>
      </c>
      <c r="AC78" s="216" t="e">
        <f>VLOOKUP($D$8,'Mast Arm Capacity'!$A$16:$BO$22,AC65,0)</f>
        <v>#N/A</v>
      </c>
      <c r="AD78" s="216" t="e">
        <f>VLOOKUP($D$8,'Mast Arm Capacity'!$A$16:$BO$22,AD65,0)</f>
        <v>#N/A</v>
      </c>
      <c r="AE78" s="216" t="e">
        <f>VLOOKUP($D$8,'Mast Arm Capacity'!$A$16:$BO$22,AE65,0)</f>
        <v>#N/A</v>
      </c>
      <c r="AF78" s="216" t="e">
        <f>VLOOKUP($D$8,'Mast Arm Capacity'!$A$16:$BO$22,AF65,0)</f>
        <v>#N/A</v>
      </c>
      <c r="AG78" s="216" t="e">
        <f>VLOOKUP($D$8,'Mast Arm Capacity'!$A$16:$BO$22,AG65,0)</f>
        <v>#N/A</v>
      </c>
      <c r="AH78" s="216" t="e">
        <f>VLOOKUP($D$8,'Mast Arm Capacity'!$A$16:$BO$22,AH65,0)</f>
        <v>#N/A</v>
      </c>
      <c r="AI78" s="216" t="e">
        <f>VLOOKUP($D$8,'Mast Arm Capacity'!$A$16:$BO$22,AI65,0)</f>
        <v>#N/A</v>
      </c>
      <c r="AJ78" s="216" t="e">
        <f>VLOOKUP($D$8,'Mast Arm Capacity'!$A$16:$BO$22,AJ65,0)</f>
        <v>#N/A</v>
      </c>
      <c r="AK78" s="216" t="e">
        <f>VLOOKUP($D$8,'Mast Arm Capacity'!$A$16:$BO$22,AK65,0)</f>
        <v>#N/A</v>
      </c>
      <c r="AL78" s="217" t="e">
        <f>VLOOKUP($D$8,'Mast Arm Capacity'!$A$16:$BO$22,AL65,0)</f>
        <v>#N/A</v>
      </c>
      <c r="AM78" s="215" t="e">
        <f>VLOOKUP($D$8,'Mast Arm Capacity'!$A$16:$BO$22,AM65,0)</f>
        <v>#N/A</v>
      </c>
      <c r="AN78" s="216" t="e">
        <f>VLOOKUP($D$8,'Mast Arm Capacity'!$A$16:$BO$22,AN65,0)</f>
        <v>#N/A</v>
      </c>
      <c r="AO78" s="216" t="e">
        <f>VLOOKUP($D$8,'Mast Arm Capacity'!$A$16:$BO$22,AO65,0)</f>
        <v>#N/A</v>
      </c>
      <c r="AP78" s="216" t="e">
        <f>VLOOKUP($D$8,'Mast Arm Capacity'!$A$16:$BO$22,AP65,0)</f>
        <v>#N/A</v>
      </c>
      <c r="AQ78" s="216" t="e">
        <f>VLOOKUP($D$8,'Mast Arm Capacity'!$A$16:$BO$22,AQ65,0)</f>
        <v>#N/A</v>
      </c>
      <c r="AR78" s="216" t="e">
        <f>VLOOKUP($D$8,'Mast Arm Capacity'!$A$16:$BO$22,AR65,0)</f>
        <v>#N/A</v>
      </c>
      <c r="AS78" s="216" t="e">
        <f>VLOOKUP($D$8,'Mast Arm Capacity'!$A$16:$BO$22,AS65,0)</f>
        <v>#N/A</v>
      </c>
      <c r="AT78" s="216" t="e">
        <f>VLOOKUP($D$8,'Mast Arm Capacity'!$A$16:$BO$22,AT65,0)</f>
        <v>#N/A</v>
      </c>
      <c r="AU78" s="216" t="e">
        <f>VLOOKUP($D$8,'Mast Arm Capacity'!$A$16:$BO$22,AU65,0)</f>
        <v>#N/A</v>
      </c>
      <c r="AV78" s="216" t="e">
        <f>VLOOKUP($D$8,'Mast Arm Capacity'!$A$16:$BO$22,AV65,0)</f>
        <v>#N/A</v>
      </c>
      <c r="AW78" s="223" t="e">
        <f>VLOOKUP($D$8,'Mast Arm Capacity'!$A$16:$BO$22,AW65,0)</f>
        <v>#N/A</v>
      </c>
      <c r="AX78" s="224" t="e">
        <f>VLOOKUP($D$8,'Mast Arm Capacity'!$A$16:$BO$22,AX65,0)</f>
        <v>#N/A</v>
      </c>
      <c r="AY78" s="216" t="e">
        <f>VLOOKUP($D$8,'Mast Arm Capacity'!$A$16:$BO$22,AY65,0)</f>
        <v>#N/A</v>
      </c>
      <c r="AZ78" s="216" t="e">
        <f>VLOOKUP($D$8,'Mast Arm Capacity'!$A$16:$BO$22,AZ65,0)</f>
        <v>#N/A</v>
      </c>
      <c r="BA78" s="216" t="e">
        <f>VLOOKUP($D$8,'Mast Arm Capacity'!$A$16:$BO$22,BA65,0)</f>
        <v>#N/A</v>
      </c>
      <c r="BB78" s="216" t="e">
        <f>VLOOKUP($D$8,'Mast Arm Capacity'!$A$16:$BO$22,BB65,0)</f>
        <v>#N/A</v>
      </c>
      <c r="BC78" s="216" t="e">
        <f>VLOOKUP($D$8,'Mast Arm Capacity'!$A$16:$BO$22,BC65,0)</f>
        <v>#N/A</v>
      </c>
      <c r="BD78" s="216" t="e">
        <f>VLOOKUP($D$8,'Mast Arm Capacity'!$A$16:$BO$22,BD65,0)</f>
        <v>#N/A</v>
      </c>
      <c r="BE78" s="216" t="e">
        <f>VLOOKUP($D$8,'Mast Arm Capacity'!$A$16:$BO$22,BE65,0)</f>
        <v>#N/A</v>
      </c>
      <c r="BF78" s="216" t="e">
        <f>VLOOKUP($D$8,'Mast Arm Capacity'!$A$16:$BO$22,BF65,0)</f>
        <v>#N/A</v>
      </c>
      <c r="BG78" s="216" t="e">
        <f>VLOOKUP($D$8,'Mast Arm Capacity'!$A$16:$BO$22,BG65,0)</f>
        <v>#N/A</v>
      </c>
      <c r="BH78" s="217" t="e">
        <f>VLOOKUP($D$8,'Mast Arm Capacity'!$A$16:$BO$22,BH65,0)</f>
        <v>#N/A</v>
      </c>
      <c r="BI78" s="215" t="e">
        <f>VLOOKUP($D$8,'Mast Arm Capacity'!$A$16:$BO$22,BI65,0)</f>
        <v>#N/A</v>
      </c>
      <c r="BJ78" s="216" t="e">
        <f>VLOOKUP($D$8,'Mast Arm Capacity'!$A$16:$BO$22,BJ65,0)</f>
        <v>#N/A</v>
      </c>
      <c r="BK78" s="216" t="e">
        <f>VLOOKUP($D$8,'Mast Arm Capacity'!$A$16:$BO$22,BK65,0)</f>
        <v>#N/A</v>
      </c>
      <c r="BL78" s="216" t="e">
        <f>VLOOKUP($D$8,'Mast Arm Capacity'!$A$16:$BO$22,BL65,0)</f>
        <v>#N/A</v>
      </c>
      <c r="BM78" s="216" t="e">
        <f>VLOOKUP($D$8,'Mast Arm Capacity'!$A$16:$BO$22,BM65,0)</f>
        <v>#N/A</v>
      </c>
      <c r="BN78" s="216" t="e">
        <f>VLOOKUP($D$8,'Mast Arm Capacity'!$A$16:$BO$22,BN65,0)</f>
        <v>#N/A</v>
      </c>
      <c r="BO78" s="216" t="e">
        <f>VLOOKUP($D$8,'Mast Arm Capacity'!$A$16:$BO$22,BO65,0)</f>
        <v>#N/A</v>
      </c>
      <c r="BP78" s="216" t="e">
        <f>VLOOKUP($D$8,'Mast Arm Capacity'!$A$16:$BO$22,BP65,0)</f>
        <v>#N/A</v>
      </c>
      <c r="BQ78" s="216" t="e">
        <f>VLOOKUP($D$8,'Mast Arm Capacity'!$A$16:$BO$22,BQ65,0)</f>
        <v>#N/A</v>
      </c>
      <c r="BR78" s="216" t="e">
        <f>VLOOKUP($D$8,'Mast Arm Capacity'!$A$16:$BO$22,BR65,0)</f>
        <v>#N/A</v>
      </c>
      <c r="BS78" s="223" t="e">
        <f>VLOOKUP($D$8,'Mast Arm Capacity'!$A$16:$BO$22,BS65,0)</f>
        <v>#N/A</v>
      </c>
    </row>
    <row r="79" spans="1:71" ht="13.5" thickBot="1" x14ac:dyDescent="0.25">
      <c r="E79" s="108" t="s">
        <v>305</v>
      </c>
      <c r="F79" s="218" t="e">
        <f>IF(F78=0,"NA",F77/F78)</f>
        <v>#N/A</v>
      </c>
      <c r="G79" s="219" t="e">
        <f t="shared" ref="G79:Q79" si="79">IF(G78=0,"NA",G77/G78)</f>
        <v>#N/A</v>
      </c>
      <c r="H79" s="219" t="e">
        <f t="shared" si="79"/>
        <v>#N/A</v>
      </c>
      <c r="I79" s="219" t="e">
        <f t="shared" si="79"/>
        <v>#N/A</v>
      </c>
      <c r="J79" s="219" t="e">
        <f t="shared" si="79"/>
        <v>#N/A</v>
      </c>
      <c r="K79" s="219" t="e">
        <f>IF(K78=0,"NA",K77/K78)</f>
        <v>#N/A</v>
      </c>
      <c r="L79" s="219" t="e">
        <f>IF(L78=0,"NA",L77/L78)</f>
        <v>#N/A</v>
      </c>
      <c r="M79" s="219" t="e">
        <f t="shared" si="79"/>
        <v>#N/A</v>
      </c>
      <c r="N79" s="219" t="e">
        <f t="shared" si="79"/>
        <v>#N/A</v>
      </c>
      <c r="O79" s="219" t="e">
        <f t="shared" si="79"/>
        <v>#N/A</v>
      </c>
      <c r="P79" s="220" t="e">
        <f t="shared" si="79"/>
        <v>#N/A</v>
      </c>
      <c r="Q79" s="218" t="e">
        <f t="shared" si="79"/>
        <v>#N/A</v>
      </c>
      <c r="R79" s="219" t="e">
        <f t="shared" ref="R79" si="80">IF(R78=0,"NA",R77/R78)</f>
        <v>#N/A</v>
      </c>
      <c r="S79" s="219" t="e">
        <f t="shared" ref="S79" si="81">IF(S78=0,"NA",S77/S78)</f>
        <v>#N/A</v>
      </c>
      <c r="T79" s="219" t="e">
        <f t="shared" ref="T79" si="82">IF(T78=0,"NA",T77/T78)</f>
        <v>#N/A</v>
      </c>
      <c r="U79" s="219" t="e">
        <f t="shared" ref="U79" si="83">IF(U78=0,"NA",U77/U78)</f>
        <v>#N/A</v>
      </c>
      <c r="V79" s="219" t="e">
        <f t="shared" ref="V79" si="84">IF(V78=0,"NA",V77/V78)</f>
        <v>#N/A</v>
      </c>
      <c r="W79" s="219" t="e">
        <f t="shared" ref="W79" si="85">IF(W78=0,"NA",W77/W78)</f>
        <v>#N/A</v>
      </c>
      <c r="X79" s="219" t="e">
        <f t="shared" ref="X79" si="86">IF(X78=0,"NA",X77/X78)</f>
        <v>#N/A</v>
      </c>
      <c r="Y79" s="219" t="e">
        <f t="shared" ref="Y79" si="87">IF(Y78=0,"NA",Y77/Y78)</f>
        <v>#N/A</v>
      </c>
      <c r="Z79" s="219" t="e">
        <f t="shared" ref="Z79" si="88">IF(Z78=0,"NA",Z77/Z78)</f>
        <v>#N/A</v>
      </c>
      <c r="AA79" s="225" t="e">
        <f t="shared" ref="AA79:AB79" si="89">IF(AA78=0,"NA",AA77/AA78)</f>
        <v>#N/A</v>
      </c>
      <c r="AB79" s="226" t="e">
        <f t="shared" si="89"/>
        <v>#N/A</v>
      </c>
      <c r="AC79" s="219" t="e">
        <f>IF(AC78=0,"NA",AC77/AC78)</f>
        <v>#N/A</v>
      </c>
      <c r="AD79" s="219" t="e">
        <f t="shared" ref="AD79" si="90">IF(AD78=0,"NA",AD77/AD78)</f>
        <v>#N/A</v>
      </c>
      <c r="AE79" s="219" t="e">
        <f t="shared" ref="AE79" si="91">IF(AE78=0,"NA",AE77/AE78)</f>
        <v>#N/A</v>
      </c>
      <c r="AF79" s="219" t="e">
        <f t="shared" ref="AF79" si="92">IF(AF78=0,"NA",AF77/AF78)</f>
        <v>#N/A</v>
      </c>
      <c r="AG79" s="219" t="e">
        <f t="shared" ref="AG79" si="93">IF(AG78=0,"NA",AG77/AG78)</f>
        <v>#N/A</v>
      </c>
      <c r="AH79" s="219" t="e">
        <f t="shared" ref="AH79" si="94">IF(AH78=0,"NA",AH77/AH78)</f>
        <v>#N/A</v>
      </c>
      <c r="AI79" s="219" t="e">
        <f t="shared" ref="AI79" si="95">IF(AI78=0,"NA",AI77/AI78)</f>
        <v>#N/A</v>
      </c>
      <c r="AJ79" s="219" t="e">
        <f t="shared" ref="AJ79" si="96">IF(AJ78=0,"NA",AJ77/AJ78)</f>
        <v>#N/A</v>
      </c>
      <c r="AK79" s="219" t="e">
        <f t="shared" ref="AK79" si="97">IF(AK78=0,"NA",AK77/AK78)</f>
        <v>#N/A</v>
      </c>
      <c r="AL79" s="220" t="e">
        <f t="shared" ref="AL79:AM79" si="98">IF(AL78=0,"NA",AL77/AL78)</f>
        <v>#N/A</v>
      </c>
      <c r="AM79" s="218" t="e">
        <f t="shared" si="98"/>
        <v>#N/A</v>
      </c>
      <c r="AN79" s="219" t="e">
        <f t="shared" ref="AN79" si="99">IF(AN78=0,"NA",AN77/AN78)</f>
        <v>#N/A</v>
      </c>
      <c r="AO79" s="219" t="e">
        <f t="shared" ref="AO79" si="100">IF(AO78=0,"NA",AO77/AO78)</f>
        <v>#N/A</v>
      </c>
      <c r="AP79" s="219" t="e">
        <f t="shared" ref="AP79" si="101">IF(AP78=0,"NA",AP77/AP78)</f>
        <v>#N/A</v>
      </c>
      <c r="AQ79" s="219" t="e">
        <f t="shared" ref="AQ79" si="102">IF(AQ78=0,"NA",AQ77/AQ78)</f>
        <v>#N/A</v>
      </c>
      <c r="AR79" s="219" t="e">
        <f t="shared" ref="AR79" si="103">IF(AR78=0,"NA",AR77/AR78)</f>
        <v>#N/A</v>
      </c>
      <c r="AS79" s="219" t="e">
        <f t="shared" ref="AS79" si="104">IF(AS78=0,"NA",AS77/AS78)</f>
        <v>#N/A</v>
      </c>
      <c r="AT79" s="219" t="e">
        <f t="shared" ref="AT79" si="105">IF(AT78=0,"NA",AT77/AT78)</f>
        <v>#N/A</v>
      </c>
      <c r="AU79" s="219" t="e">
        <f t="shared" ref="AU79" si="106">IF(AU78=0,"NA",AU77/AU78)</f>
        <v>#N/A</v>
      </c>
      <c r="AV79" s="219" t="e">
        <f t="shared" ref="AV79" si="107">IF(AV78=0,"NA",AV77/AV78)</f>
        <v>#N/A</v>
      </c>
      <c r="AW79" s="225" t="e">
        <f t="shared" ref="AW79:AX79" si="108">IF(AW78=0,"NA",AW77/AW78)</f>
        <v>#N/A</v>
      </c>
      <c r="AX79" s="226" t="e">
        <f t="shared" si="108"/>
        <v>#N/A</v>
      </c>
      <c r="AY79" s="219" t="e">
        <f t="shared" ref="AY79" si="109">IF(AY78=0,"NA",AY77/AY78)</f>
        <v>#N/A</v>
      </c>
      <c r="AZ79" s="219" t="e">
        <f t="shared" ref="AZ79" si="110">IF(AZ78=0,"NA",AZ77/AZ78)</f>
        <v>#N/A</v>
      </c>
      <c r="BA79" s="219" t="e">
        <f t="shared" ref="BA79" si="111">IF(BA78=0,"NA",BA77/BA78)</f>
        <v>#N/A</v>
      </c>
      <c r="BB79" s="219" t="e">
        <f t="shared" ref="BB79" si="112">IF(BB78=0,"NA",BB77/BB78)</f>
        <v>#N/A</v>
      </c>
      <c r="BC79" s="219" t="e">
        <f t="shared" ref="BC79" si="113">IF(BC78=0,"NA",BC77/BC78)</f>
        <v>#N/A</v>
      </c>
      <c r="BD79" s="219" t="e">
        <f t="shared" ref="BD79" si="114">IF(BD78=0,"NA",BD77/BD78)</f>
        <v>#N/A</v>
      </c>
      <c r="BE79" s="219" t="e">
        <f t="shared" ref="BE79" si="115">IF(BE78=0,"NA",BE77/BE78)</f>
        <v>#N/A</v>
      </c>
      <c r="BF79" s="219" t="e">
        <f t="shared" ref="BF79" si="116">IF(BF78=0,"NA",BF77/BF78)</f>
        <v>#N/A</v>
      </c>
      <c r="BG79" s="219" t="e">
        <f t="shared" ref="BG79" si="117">IF(BG78=0,"NA",BG77/BG78)</f>
        <v>#N/A</v>
      </c>
      <c r="BH79" s="220" t="e">
        <f t="shared" ref="BH79:BI79" si="118">IF(BH78=0,"NA",BH77/BH78)</f>
        <v>#N/A</v>
      </c>
      <c r="BI79" s="218" t="e">
        <f t="shared" si="118"/>
        <v>#N/A</v>
      </c>
      <c r="BJ79" s="219" t="e">
        <f t="shared" ref="BJ79" si="119">IF(BJ78=0,"NA",BJ77/BJ78)</f>
        <v>#N/A</v>
      </c>
      <c r="BK79" s="219" t="e">
        <f t="shared" ref="BK79" si="120">IF(BK78=0,"NA",BK77/BK78)</f>
        <v>#N/A</v>
      </c>
      <c r="BL79" s="219" t="e">
        <f t="shared" ref="BL79" si="121">IF(BL78=0,"NA",BL77/BL78)</f>
        <v>#N/A</v>
      </c>
      <c r="BM79" s="219" t="e">
        <f t="shared" ref="BM79" si="122">IF(BM78=0,"NA",BM77/BM78)</f>
        <v>#N/A</v>
      </c>
      <c r="BN79" s="219" t="e">
        <f t="shared" ref="BN79" si="123">IF(BN78=0,"NA",BN77/BN78)</f>
        <v>#N/A</v>
      </c>
      <c r="BO79" s="219" t="e">
        <f t="shared" ref="BO79" si="124">IF(BO78=0,"NA",BO77/BO78)</f>
        <v>#N/A</v>
      </c>
      <c r="BP79" s="219" t="e">
        <f t="shared" ref="BP79" si="125">IF(BP78=0,"NA",BP77/BP78)</f>
        <v>#N/A</v>
      </c>
      <c r="BQ79" s="219" t="e">
        <f t="shared" ref="BQ79" si="126">IF(BQ78=0,"NA",BQ77/BQ78)</f>
        <v>#N/A</v>
      </c>
      <c r="BR79" s="219" t="e">
        <f t="shared" ref="BR79" si="127">IF(BR78=0,"NA",BR77/BR78)</f>
        <v>#N/A</v>
      </c>
      <c r="BS79" s="225" t="e">
        <f t="shared" ref="BS79" si="128">IF(BS78=0,"NA",BS77/BS78)</f>
        <v>#N/A</v>
      </c>
    </row>
    <row r="80" spans="1:71" ht="13.5" thickBot="1" x14ac:dyDescent="0.25"/>
    <row r="81" spans="4:71" ht="16.5" thickBot="1" x14ac:dyDescent="0.35">
      <c r="F81" s="256" t="s">
        <v>322</v>
      </c>
      <c r="G81" s="257"/>
      <c r="H81" s="257"/>
      <c r="I81" s="257"/>
      <c r="J81" s="257"/>
      <c r="K81" s="257"/>
      <c r="L81" s="257"/>
      <c r="M81" s="257"/>
      <c r="N81" s="257"/>
      <c r="O81" s="257"/>
      <c r="P81" s="258"/>
      <c r="Q81" s="269" t="s">
        <v>323</v>
      </c>
      <c r="R81" s="257"/>
      <c r="S81" s="257"/>
      <c r="T81" s="257"/>
      <c r="U81" s="257"/>
      <c r="V81" s="257"/>
      <c r="W81" s="257"/>
      <c r="X81" s="257"/>
      <c r="Y81" s="257"/>
      <c r="Z81" s="257"/>
      <c r="AA81" s="270"/>
      <c r="AB81" s="256" t="s">
        <v>324</v>
      </c>
      <c r="AC81" s="257"/>
      <c r="AD81" s="257"/>
      <c r="AE81" s="257"/>
      <c r="AF81" s="257"/>
      <c r="AG81" s="257"/>
      <c r="AH81" s="257"/>
      <c r="AI81" s="257"/>
      <c r="AJ81" s="257"/>
      <c r="AK81" s="257"/>
      <c r="AL81" s="258"/>
      <c r="AM81" s="269" t="s">
        <v>325</v>
      </c>
      <c r="AN81" s="257"/>
      <c r="AO81" s="257"/>
      <c r="AP81" s="257"/>
      <c r="AQ81" s="257"/>
      <c r="AR81" s="257"/>
      <c r="AS81" s="257"/>
      <c r="AT81" s="257"/>
      <c r="AU81" s="257"/>
      <c r="AV81" s="257"/>
      <c r="AW81" s="270"/>
      <c r="AX81" s="256" t="s">
        <v>326</v>
      </c>
      <c r="AY81" s="257"/>
      <c r="AZ81" s="257"/>
      <c r="BA81" s="257"/>
      <c r="BB81" s="257"/>
      <c r="BC81" s="257"/>
      <c r="BD81" s="257"/>
      <c r="BE81" s="257"/>
      <c r="BF81" s="257"/>
      <c r="BG81" s="257"/>
      <c r="BH81" s="258"/>
      <c r="BI81" s="265" t="s">
        <v>327</v>
      </c>
      <c r="BJ81" s="266"/>
      <c r="BK81" s="266"/>
      <c r="BL81" s="266"/>
      <c r="BM81" s="266"/>
      <c r="BN81" s="266"/>
      <c r="BO81" s="266"/>
      <c r="BP81" s="266"/>
      <c r="BQ81" s="266"/>
      <c r="BR81" s="266"/>
      <c r="BS81" s="267"/>
    </row>
    <row r="82" spans="4:71" ht="13.5" thickBot="1" x14ac:dyDescent="0.25">
      <c r="E82" s="232" t="s">
        <v>359</v>
      </c>
      <c r="F82" s="174">
        <v>0</v>
      </c>
      <c r="G82" s="175">
        <v>5</v>
      </c>
      <c r="H82" s="175">
        <v>10</v>
      </c>
      <c r="I82" s="175">
        <v>15</v>
      </c>
      <c r="J82" s="175">
        <v>20</v>
      </c>
      <c r="K82" s="175">
        <v>25</v>
      </c>
      <c r="L82" s="175">
        <v>30</v>
      </c>
      <c r="M82" s="175">
        <v>35</v>
      </c>
      <c r="N82" s="175">
        <v>40</v>
      </c>
      <c r="O82" s="175">
        <v>45</v>
      </c>
      <c r="P82" s="177">
        <v>50</v>
      </c>
      <c r="Q82" s="183">
        <v>0</v>
      </c>
      <c r="R82" s="175">
        <v>5</v>
      </c>
      <c r="S82" s="175">
        <v>10</v>
      </c>
      <c r="T82" s="175">
        <v>15</v>
      </c>
      <c r="U82" s="175">
        <v>20</v>
      </c>
      <c r="V82" s="175">
        <v>25</v>
      </c>
      <c r="W82" s="175">
        <v>30</v>
      </c>
      <c r="X82" s="175">
        <v>35</v>
      </c>
      <c r="Y82" s="175">
        <v>40</v>
      </c>
      <c r="Z82" s="175">
        <v>45</v>
      </c>
      <c r="AA82" s="182">
        <v>50</v>
      </c>
      <c r="AB82" s="174">
        <v>0</v>
      </c>
      <c r="AC82" s="175">
        <v>5</v>
      </c>
      <c r="AD82" s="175">
        <v>10</v>
      </c>
      <c r="AE82" s="175">
        <v>15</v>
      </c>
      <c r="AF82" s="175">
        <v>20</v>
      </c>
      <c r="AG82" s="175">
        <v>25</v>
      </c>
      <c r="AH82" s="175">
        <v>30</v>
      </c>
      <c r="AI82" s="175">
        <v>35</v>
      </c>
      <c r="AJ82" s="175">
        <v>40</v>
      </c>
      <c r="AK82" s="175">
        <v>45</v>
      </c>
      <c r="AL82" s="177">
        <v>50</v>
      </c>
      <c r="AM82" s="183">
        <v>0</v>
      </c>
      <c r="AN82" s="175">
        <v>5</v>
      </c>
      <c r="AO82" s="175">
        <v>10</v>
      </c>
      <c r="AP82" s="175">
        <v>15</v>
      </c>
      <c r="AQ82" s="175">
        <v>20</v>
      </c>
      <c r="AR82" s="175">
        <v>25</v>
      </c>
      <c r="AS82" s="175">
        <v>30</v>
      </c>
      <c r="AT82" s="175">
        <v>35</v>
      </c>
      <c r="AU82" s="175">
        <v>40</v>
      </c>
      <c r="AV82" s="175">
        <v>45</v>
      </c>
      <c r="AW82" s="182">
        <v>50</v>
      </c>
      <c r="AX82" s="174">
        <v>0</v>
      </c>
      <c r="AY82" s="175">
        <v>5</v>
      </c>
      <c r="AZ82" s="175">
        <v>10</v>
      </c>
      <c r="BA82" s="175">
        <v>15</v>
      </c>
      <c r="BB82" s="175">
        <v>20</v>
      </c>
      <c r="BC82" s="175">
        <v>25</v>
      </c>
      <c r="BD82" s="175">
        <v>30</v>
      </c>
      <c r="BE82" s="175">
        <v>35</v>
      </c>
      <c r="BF82" s="175">
        <v>40</v>
      </c>
      <c r="BG82" s="175">
        <v>45</v>
      </c>
      <c r="BH82" s="177">
        <v>50</v>
      </c>
      <c r="BI82" s="174">
        <v>0</v>
      </c>
      <c r="BJ82" s="175">
        <v>5</v>
      </c>
      <c r="BK82" s="175">
        <v>10</v>
      </c>
      <c r="BL82" s="175">
        <v>15</v>
      </c>
      <c r="BM82" s="175">
        <v>20</v>
      </c>
      <c r="BN82" s="175">
        <v>25</v>
      </c>
      <c r="BO82" s="175">
        <v>30</v>
      </c>
      <c r="BP82" s="175">
        <v>35</v>
      </c>
      <c r="BQ82" s="175">
        <v>40</v>
      </c>
      <c r="BR82" s="175">
        <v>45</v>
      </c>
      <c r="BS82" s="177">
        <v>50</v>
      </c>
    </row>
    <row r="83" spans="4:71" x14ac:dyDescent="0.2">
      <c r="D83" s="262" t="s">
        <v>358</v>
      </c>
      <c r="E83" s="229">
        <v>25</v>
      </c>
      <c r="F83" s="185">
        <f>'Mast Arm Capacity'!B17</f>
        <v>206.8</v>
      </c>
      <c r="G83" s="186">
        <f>'Mast Arm Capacity'!C17</f>
        <v>116.80000000000001</v>
      </c>
      <c r="H83" s="186">
        <f>'Mast Arm Capacity'!D17</f>
        <v>116.80000000000001</v>
      </c>
      <c r="I83" s="186">
        <f>'Mast Arm Capacity'!E17</f>
        <v>112.60000000000001</v>
      </c>
      <c r="J83" s="186">
        <f>'Mast Arm Capacity'!F17</f>
        <v>69.600000000000009</v>
      </c>
      <c r="K83" s="186">
        <f>'Mast Arm Capacity'!G17</f>
        <v>69.600000000000009</v>
      </c>
      <c r="L83" s="186">
        <f>'Mast Arm Capacity'!H17</f>
        <v>0</v>
      </c>
      <c r="M83" s="186">
        <f>'Mast Arm Capacity'!I17</f>
        <v>0</v>
      </c>
      <c r="N83" s="186">
        <f>'Mast Arm Capacity'!J17</f>
        <v>0</v>
      </c>
      <c r="O83" s="186">
        <f>'Mast Arm Capacity'!K17</f>
        <v>0</v>
      </c>
      <c r="P83" s="187">
        <f>'Mast Arm Capacity'!L17</f>
        <v>0</v>
      </c>
      <c r="Q83" s="193">
        <f>'Mast Arm Capacity'!M17</f>
        <v>2928.5</v>
      </c>
      <c r="R83" s="186">
        <f>'Mast Arm Capacity'!N17</f>
        <v>1939.5</v>
      </c>
      <c r="S83" s="186">
        <f>'Mast Arm Capacity'!O17</f>
        <v>1355.5</v>
      </c>
      <c r="T83" s="186">
        <f>'Mast Arm Capacity'!P17</f>
        <v>782</v>
      </c>
      <c r="U83" s="186">
        <f>'Mast Arm Capacity'!Q17</f>
        <v>348</v>
      </c>
      <c r="V83" s="186">
        <f>'Mast Arm Capacity'!R17</f>
        <v>0</v>
      </c>
      <c r="W83" s="186">
        <f>'Mast Arm Capacity'!S17</f>
        <v>0</v>
      </c>
      <c r="X83" s="186">
        <f>'Mast Arm Capacity'!T17</f>
        <v>0</v>
      </c>
      <c r="Y83" s="186">
        <f>'Mast Arm Capacity'!U17</f>
        <v>0</v>
      </c>
      <c r="Z83" s="186">
        <f>'Mast Arm Capacity'!V17</f>
        <v>0</v>
      </c>
      <c r="AA83" s="194">
        <f>'Mast Arm Capacity'!W17</f>
        <v>0</v>
      </c>
      <c r="AB83" s="185">
        <f>'Mast Arm Capacity'!X17</f>
        <v>36.319999999999993</v>
      </c>
      <c r="AC83" s="186">
        <f>'Mast Arm Capacity'!Y17</f>
        <v>21.389999999999997</v>
      </c>
      <c r="AD83" s="186">
        <f>'Mast Arm Capacity'!Z17</f>
        <v>21.389999999999997</v>
      </c>
      <c r="AE83" s="186">
        <f>'Mast Arm Capacity'!AA17</f>
        <v>20.419999999999998</v>
      </c>
      <c r="AF83" s="186">
        <f>'Mast Arm Capacity'!AB17</f>
        <v>11.75</v>
      </c>
      <c r="AG83" s="186">
        <f>'Mast Arm Capacity'!AC17</f>
        <v>11.75</v>
      </c>
      <c r="AH83" s="186">
        <f>'Mast Arm Capacity'!AD17</f>
        <v>0</v>
      </c>
      <c r="AI83" s="186">
        <f>'Mast Arm Capacity'!AE17</f>
        <v>0</v>
      </c>
      <c r="AJ83" s="186">
        <f>'Mast Arm Capacity'!AF17</f>
        <v>0</v>
      </c>
      <c r="AK83" s="186">
        <f>'Mast Arm Capacity'!AG17</f>
        <v>0</v>
      </c>
      <c r="AL83" s="187">
        <f>'Mast Arm Capacity'!AH17</f>
        <v>0</v>
      </c>
      <c r="AM83" s="193">
        <f>'Mast Arm Capacity'!AI17</f>
        <v>520.45000000000005</v>
      </c>
      <c r="AN83" s="186">
        <f>'Mast Arm Capacity'!AJ17</f>
        <v>346.31499999999994</v>
      </c>
      <c r="AO83" s="186">
        <f>'Mast Arm Capacity'!AK17</f>
        <v>239.36500000000004</v>
      </c>
      <c r="AP83" s="186">
        <f>'Mast Arm Capacity'!AL17</f>
        <v>134.84</v>
      </c>
      <c r="AQ83" s="186">
        <f>'Mast Arm Capacity'!AM17</f>
        <v>58.75</v>
      </c>
      <c r="AR83" s="186">
        <f>'Mast Arm Capacity'!AN17</f>
        <v>0</v>
      </c>
      <c r="AS83" s="186">
        <f>'Mast Arm Capacity'!AO17</f>
        <v>0</v>
      </c>
      <c r="AT83" s="186">
        <f>'Mast Arm Capacity'!AP17</f>
        <v>0</v>
      </c>
      <c r="AU83" s="186">
        <f>'Mast Arm Capacity'!AQ17</f>
        <v>0</v>
      </c>
      <c r="AV83" s="186">
        <f>'Mast Arm Capacity'!AR17</f>
        <v>0</v>
      </c>
      <c r="AW83" s="194">
        <f>'Mast Arm Capacity'!AS17</f>
        <v>0</v>
      </c>
      <c r="AX83" s="185">
        <f>'Mast Arm Capacity'!AT17</f>
        <v>10.95</v>
      </c>
      <c r="AY83" s="186">
        <f>'Mast Arm Capacity'!AU17</f>
        <v>7.02</v>
      </c>
      <c r="AZ83" s="186">
        <f>'Mast Arm Capacity'!AV17</f>
        <v>7.02</v>
      </c>
      <c r="BA83" s="186">
        <f>'Mast Arm Capacity'!AW17</f>
        <v>6.05</v>
      </c>
      <c r="BB83" s="186">
        <f>'Mast Arm Capacity'!AX17</f>
        <v>4.5199999999999996</v>
      </c>
      <c r="BC83" s="186">
        <f>'Mast Arm Capacity'!AY17</f>
        <v>4.5199999999999996</v>
      </c>
      <c r="BD83" s="186">
        <f>'Mast Arm Capacity'!AZ17</f>
        <v>0</v>
      </c>
      <c r="BE83" s="186">
        <f>'Mast Arm Capacity'!BA17</f>
        <v>0</v>
      </c>
      <c r="BF83" s="186">
        <f>'Mast Arm Capacity'!BB17</f>
        <v>0</v>
      </c>
      <c r="BG83" s="186">
        <f>'Mast Arm Capacity'!BC17</f>
        <v>0</v>
      </c>
      <c r="BH83" s="187">
        <f>'Mast Arm Capacity'!BD17</f>
        <v>0</v>
      </c>
      <c r="BI83" s="185">
        <f>'Mast Arm Capacity'!BE17</f>
        <v>168.82</v>
      </c>
      <c r="BJ83" s="186">
        <f>'Mast Arm Capacity'!BF17</f>
        <v>116.035</v>
      </c>
      <c r="BK83" s="186">
        <f>'Mast Arm Capacity'!BG17</f>
        <v>80.934999999999988</v>
      </c>
      <c r="BL83" s="186">
        <f>'Mast Arm Capacity'!BH17</f>
        <v>48.260000000000005</v>
      </c>
      <c r="BM83" s="186">
        <f>'Mast Arm Capacity'!BI17</f>
        <v>22.6</v>
      </c>
      <c r="BN83" s="186">
        <f>'Mast Arm Capacity'!BJ17</f>
        <v>0</v>
      </c>
      <c r="BO83" s="186">
        <f>'Mast Arm Capacity'!BK17</f>
        <v>0</v>
      </c>
      <c r="BP83" s="186">
        <f>'Mast Arm Capacity'!BL17</f>
        <v>0</v>
      </c>
      <c r="BQ83" s="186">
        <f>'Mast Arm Capacity'!BM17</f>
        <v>0</v>
      </c>
      <c r="BR83" s="186">
        <f>'Mast Arm Capacity'!BN17</f>
        <v>0</v>
      </c>
      <c r="BS83" s="187">
        <f>'Mast Arm Capacity'!BO17</f>
        <v>0</v>
      </c>
    </row>
    <row r="84" spans="4:71" x14ac:dyDescent="0.2">
      <c r="D84" s="263"/>
      <c r="E84" s="230">
        <v>30</v>
      </c>
      <c r="F84" s="188">
        <f>'Mast Arm Capacity'!B18</f>
        <v>206.8</v>
      </c>
      <c r="G84" s="97">
        <f>'Mast Arm Capacity'!C18</f>
        <v>116.80000000000001</v>
      </c>
      <c r="H84" s="97">
        <f>'Mast Arm Capacity'!D18</f>
        <v>116.80000000000001</v>
      </c>
      <c r="I84" s="97">
        <f>'Mast Arm Capacity'!E18</f>
        <v>116.80000000000001</v>
      </c>
      <c r="J84" s="97">
        <f>'Mast Arm Capacity'!F18</f>
        <v>112.60000000000001</v>
      </c>
      <c r="K84" s="97">
        <f>'Mast Arm Capacity'!G18</f>
        <v>69.600000000000009</v>
      </c>
      <c r="L84" s="97">
        <f>'Mast Arm Capacity'!H18</f>
        <v>69.600000000000009</v>
      </c>
      <c r="M84" s="97">
        <f>'Mast Arm Capacity'!I18</f>
        <v>0</v>
      </c>
      <c r="N84" s="97">
        <f>'Mast Arm Capacity'!J18</f>
        <v>0</v>
      </c>
      <c r="O84" s="97">
        <f>'Mast Arm Capacity'!K18</f>
        <v>0</v>
      </c>
      <c r="P84" s="189">
        <f>'Mast Arm Capacity'!L18</f>
        <v>0</v>
      </c>
      <c r="Q84" s="195">
        <f>'Mast Arm Capacity'!M18</f>
        <v>3502</v>
      </c>
      <c r="R84" s="97">
        <f>'Mast Arm Capacity'!N18</f>
        <v>2513</v>
      </c>
      <c r="S84" s="97">
        <f>'Mast Arm Capacity'!O18</f>
        <v>1929</v>
      </c>
      <c r="T84" s="97">
        <f>'Mast Arm Capacity'!P18</f>
        <v>1345</v>
      </c>
      <c r="U84" s="97">
        <f>'Mast Arm Capacity'!Q18</f>
        <v>782</v>
      </c>
      <c r="V84" s="97">
        <f>'Mast Arm Capacity'!R18</f>
        <v>348</v>
      </c>
      <c r="W84" s="97">
        <f>'Mast Arm Capacity'!S18</f>
        <v>0</v>
      </c>
      <c r="X84" s="97">
        <f>'Mast Arm Capacity'!T18</f>
        <v>0</v>
      </c>
      <c r="Y84" s="97">
        <f>'Mast Arm Capacity'!U18</f>
        <v>0</v>
      </c>
      <c r="Z84" s="97">
        <f>'Mast Arm Capacity'!V18</f>
        <v>0</v>
      </c>
      <c r="AA84" s="196">
        <f>'Mast Arm Capacity'!W18</f>
        <v>0</v>
      </c>
      <c r="AB84" s="188">
        <f>'Mast Arm Capacity'!X18</f>
        <v>36.319999999999993</v>
      </c>
      <c r="AC84" s="97">
        <f>'Mast Arm Capacity'!Y18</f>
        <v>21.389999999999997</v>
      </c>
      <c r="AD84" s="97">
        <f>'Mast Arm Capacity'!Z18</f>
        <v>21.389999999999997</v>
      </c>
      <c r="AE84" s="97">
        <f>'Mast Arm Capacity'!AA18</f>
        <v>21.389999999999997</v>
      </c>
      <c r="AF84" s="97">
        <f>'Mast Arm Capacity'!AB18</f>
        <v>20.419999999999998</v>
      </c>
      <c r="AG84" s="97">
        <f>'Mast Arm Capacity'!AC18</f>
        <v>11.75</v>
      </c>
      <c r="AH84" s="97">
        <f>'Mast Arm Capacity'!AD18</f>
        <v>11.75</v>
      </c>
      <c r="AI84" s="97">
        <f>'Mast Arm Capacity'!AE18</f>
        <v>0</v>
      </c>
      <c r="AJ84" s="97">
        <f>'Mast Arm Capacity'!AF18</f>
        <v>0</v>
      </c>
      <c r="AK84" s="97">
        <f>'Mast Arm Capacity'!AG18</f>
        <v>0</v>
      </c>
      <c r="AL84" s="189">
        <f>'Mast Arm Capacity'!AH18</f>
        <v>0</v>
      </c>
      <c r="AM84" s="195">
        <f>'Mast Arm Capacity'!AI18</f>
        <v>624.97499999999991</v>
      </c>
      <c r="AN84" s="97">
        <f>'Mast Arm Capacity'!AJ18</f>
        <v>450.84</v>
      </c>
      <c r="AO84" s="97">
        <f>'Mast Arm Capacity'!AK18</f>
        <v>343.89</v>
      </c>
      <c r="AP84" s="97">
        <f>'Mast Arm Capacity'!AL18</f>
        <v>236.94000000000003</v>
      </c>
      <c r="AQ84" s="97">
        <f>'Mast Arm Capacity'!AM18</f>
        <v>134.84</v>
      </c>
      <c r="AR84" s="97">
        <f>'Mast Arm Capacity'!AN18</f>
        <v>58.75</v>
      </c>
      <c r="AS84" s="97">
        <f>'Mast Arm Capacity'!AO18</f>
        <v>0</v>
      </c>
      <c r="AT84" s="97">
        <f>'Mast Arm Capacity'!AP18</f>
        <v>0</v>
      </c>
      <c r="AU84" s="97">
        <f>'Mast Arm Capacity'!AQ18</f>
        <v>0</v>
      </c>
      <c r="AV84" s="97">
        <f>'Mast Arm Capacity'!AR18</f>
        <v>0</v>
      </c>
      <c r="AW84" s="196">
        <f>'Mast Arm Capacity'!AS18</f>
        <v>0</v>
      </c>
      <c r="AX84" s="188">
        <f>'Mast Arm Capacity'!AT18</f>
        <v>10.95</v>
      </c>
      <c r="AY84" s="97">
        <f>'Mast Arm Capacity'!AU18</f>
        <v>7.02</v>
      </c>
      <c r="AZ84" s="97">
        <f>'Mast Arm Capacity'!AV18</f>
        <v>7.02</v>
      </c>
      <c r="BA84" s="97">
        <f>'Mast Arm Capacity'!AW18</f>
        <v>7.02</v>
      </c>
      <c r="BB84" s="97">
        <f>'Mast Arm Capacity'!AX18</f>
        <v>6.05</v>
      </c>
      <c r="BC84" s="97">
        <f>'Mast Arm Capacity'!AY18</f>
        <v>4.5199999999999996</v>
      </c>
      <c r="BD84" s="97">
        <f>'Mast Arm Capacity'!AZ18</f>
        <v>4.5199999999999996</v>
      </c>
      <c r="BE84" s="97">
        <f>'Mast Arm Capacity'!BA18</f>
        <v>0</v>
      </c>
      <c r="BF84" s="97">
        <f>'Mast Arm Capacity'!BB18</f>
        <v>0</v>
      </c>
      <c r="BG84" s="97">
        <f>'Mast Arm Capacity'!BC18</f>
        <v>0</v>
      </c>
      <c r="BH84" s="189">
        <f>'Mast Arm Capacity'!BD18</f>
        <v>0</v>
      </c>
      <c r="BI84" s="188">
        <f>'Mast Arm Capacity'!BE18</f>
        <v>201.495</v>
      </c>
      <c r="BJ84" s="97">
        <f>'Mast Arm Capacity'!BF18</f>
        <v>148.70999999999998</v>
      </c>
      <c r="BK84" s="97">
        <f>'Mast Arm Capacity'!BG18</f>
        <v>113.60999999999999</v>
      </c>
      <c r="BL84" s="97">
        <f>'Mast Arm Capacity'!BH18</f>
        <v>78.509999999999991</v>
      </c>
      <c r="BM84" s="97">
        <f>'Mast Arm Capacity'!BI18</f>
        <v>48.260000000000005</v>
      </c>
      <c r="BN84" s="97">
        <f>'Mast Arm Capacity'!BJ18</f>
        <v>22.6</v>
      </c>
      <c r="BO84" s="97">
        <f>'Mast Arm Capacity'!BK18</f>
        <v>0</v>
      </c>
      <c r="BP84" s="97">
        <f>'Mast Arm Capacity'!BL18</f>
        <v>0</v>
      </c>
      <c r="BQ84" s="97">
        <f>'Mast Arm Capacity'!BM18</f>
        <v>0</v>
      </c>
      <c r="BR84" s="97">
        <f>'Mast Arm Capacity'!BN18</f>
        <v>0</v>
      </c>
      <c r="BS84" s="189">
        <f>'Mast Arm Capacity'!BO18</f>
        <v>0</v>
      </c>
    </row>
    <row r="85" spans="4:71" x14ac:dyDescent="0.2">
      <c r="D85" s="263"/>
      <c r="E85" s="230">
        <v>35</v>
      </c>
      <c r="F85" s="188">
        <f>'Mast Arm Capacity'!B19</f>
        <v>339.79999999999995</v>
      </c>
      <c r="G85" s="97">
        <f>'Mast Arm Capacity'!C19</f>
        <v>249.79999999999998</v>
      </c>
      <c r="H85" s="97">
        <f>'Mast Arm Capacity'!D19</f>
        <v>249.79999999999998</v>
      </c>
      <c r="I85" s="97">
        <f>'Mast Arm Capacity'!E19</f>
        <v>249.79999999999998</v>
      </c>
      <c r="J85" s="97">
        <f>'Mast Arm Capacity'!F19</f>
        <v>170.60000000000002</v>
      </c>
      <c r="K85" s="97">
        <f>'Mast Arm Capacity'!G19</f>
        <v>170.60000000000002</v>
      </c>
      <c r="L85" s="97">
        <f>'Mast Arm Capacity'!H19</f>
        <v>95.6</v>
      </c>
      <c r="M85" s="97">
        <f>'Mast Arm Capacity'!I19</f>
        <v>95.6</v>
      </c>
      <c r="N85" s="97">
        <f>'Mast Arm Capacity'!J19</f>
        <v>0</v>
      </c>
      <c r="O85" s="97">
        <f>'Mast Arm Capacity'!K19</f>
        <v>0</v>
      </c>
      <c r="P85" s="189">
        <f>'Mast Arm Capacity'!L19</f>
        <v>0</v>
      </c>
      <c r="Q85" s="195">
        <f>'Mast Arm Capacity'!M19</f>
        <v>7274.5</v>
      </c>
      <c r="R85" s="97">
        <f>'Mast Arm Capacity'!N19</f>
        <v>5620.5</v>
      </c>
      <c r="S85" s="97">
        <f>'Mast Arm Capacity'!O19</f>
        <v>4371.5</v>
      </c>
      <c r="T85" s="97">
        <f>'Mast Arm Capacity'!P19</f>
        <v>3122.5</v>
      </c>
      <c r="U85" s="97">
        <f>'Mast Arm Capacity'!Q19</f>
        <v>1959</v>
      </c>
      <c r="V85" s="97">
        <f>'Mast Arm Capacity'!R19</f>
        <v>1106</v>
      </c>
      <c r="W85" s="97">
        <f>'Mast Arm Capacity'!S19</f>
        <v>478</v>
      </c>
      <c r="X85" s="97">
        <f>'Mast Arm Capacity'!T19</f>
        <v>0</v>
      </c>
      <c r="Y85" s="97">
        <f>'Mast Arm Capacity'!U19</f>
        <v>0</v>
      </c>
      <c r="Z85" s="97">
        <f>'Mast Arm Capacity'!V19</f>
        <v>0</v>
      </c>
      <c r="AA85" s="196">
        <f>'Mast Arm Capacity'!W19</f>
        <v>0</v>
      </c>
      <c r="AB85" s="188">
        <f>'Mast Arm Capacity'!X19</f>
        <v>54.539999999999992</v>
      </c>
      <c r="AC85" s="97">
        <f>'Mast Arm Capacity'!Y19</f>
        <v>39.61</v>
      </c>
      <c r="AD85" s="97">
        <f>'Mast Arm Capacity'!Z19</f>
        <v>39.61</v>
      </c>
      <c r="AE85" s="97">
        <f>'Mast Arm Capacity'!AA19</f>
        <v>39.61</v>
      </c>
      <c r="AF85" s="97">
        <f>'Mast Arm Capacity'!AB19</f>
        <v>27.72</v>
      </c>
      <c r="AG85" s="97">
        <f>'Mast Arm Capacity'!AC19</f>
        <v>27.72</v>
      </c>
      <c r="AH85" s="97">
        <f>'Mast Arm Capacity'!AD19</f>
        <v>16.8</v>
      </c>
      <c r="AI85" s="97">
        <f>'Mast Arm Capacity'!AE19</f>
        <v>16.8</v>
      </c>
      <c r="AJ85" s="97">
        <f>'Mast Arm Capacity'!AF19</f>
        <v>0</v>
      </c>
      <c r="AK85" s="97">
        <f>'Mast Arm Capacity'!AG19</f>
        <v>0</v>
      </c>
      <c r="AL85" s="189">
        <f>'Mast Arm Capacity'!AH19</f>
        <v>0</v>
      </c>
      <c r="AM85" s="195">
        <f>'Mast Arm Capacity'!AI19</f>
        <v>1174.48</v>
      </c>
      <c r="AN85" s="97">
        <f>'Mast Arm Capacity'!AJ19</f>
        <v>909.24500000000012</v>
      </c>
      <c r="AO85" s="97">
        <f>'Mast Arm Capacity'!AK19</f>
        <v>711.19499999999994</v>
      </c>
      <c r="AP85" s="97">
        <f>'Mast Arm Capacity'!AL19</f>
        <v>513.14499999999998</v>
      </c>
      <c r="AQ85" s="97">
        <f>'Mast Arm Capacity'!AM19</f>
        <v>328.44</v>
      </c>
      <c r="AR85" s="97">
        <f>'Mast Arm Capacity'!AN19</f>
        <v>189.84000000000003</v>
      </c>
      <c r="AS85" s="97">
        <f>'Mast Arm Capacity'!AO19</f>
        <v>84</v>
      </c>
      <c r="AT85" s="97">
        <f>'Mast Arm Capacity'!AP19</f>
        <v>0</v>
      </c>
      <c r="AU85" s="97">
        <f>'Mast Arm Capacity'!AQ19</f>
        <v>0</v>
      </c>
      <c r="AV85" s="97">
        <f>'Mast Arm Capacity'!AR19</f>
        <v>0</v>
      </c>
      <c r="AW85" s="196">
        <f>'Mast Arm Capacity'!AS19</f>
        <v>0</v>
      </c>
      <c r="AX85" s="188">
        <f>'Mast Arm Capacity'!AT19</f>
        <v>15.409999999999998</v>
      </c>
      <c r="AY85" s="97">
        <f>'Mast Arm Capacity'!AU19</f>
        <v>11.479999999999999</v>
      </c>
      <c r="AZ85" s="97">
        <f>'Mast Arm Capacity'!AV19</f>
        <v>11.479999999999999</v>
      </c>
      <c r="BA85" s="97">
        <f>'Mast Arm Capacity'!AW19</f>
        <v>11.479999999999999</v>
      </c>
      <c r="BB85" s="97">
        <f>'Mast Arm Capacity'!AX19</f>
        <v>8.26</v>
      </c>
      <c r="BC85" s="97">
        <f>'Mast Arm Capacity'!AY19</f>
        <v>8.26</v>
      </c>
      <c r="BD85" s="97">
        <f>'Mast Arm Capacity'!AZ19</f>
        <v>6.01</v>
      </c>
      <c r="BE85" s="97">
        <f>'Mast Arm Capacity'!BA19</f>
        <v>6.01</v>
      </c>
      <c r="BF85" s="97">
        <f>'Mast Arm Capacity'!BB19</f>
        <v>0</v>
      </c>
      <c r="BG85" s="97">
        <f>'Mast Arm Capacity'!BC19</f>
        <v>0</v>
      </c>
      <c r="BH85" s="189">
        <f>'Mast Arm Capacity'!BD19</f>
        <v>0</v>
      </c>
      <c r="BI85" s="188">
        <f>'Mast Arm Capacity'!BE19</f>
        <v>348.51</v>
      </c>
      <c r="BJ85" s="97">
        <f>'Mast Arm Capacity'!BF19</f>
        <v>273.42499999999995</v>
      </c>
      <c r="BK85" s="97">
        <f>'Mast Arm Capacity'!BG19</f>
        <v>216.02500000000001</v>
      </c>
      <c r="BL85" s="97">
        <f>'Mast Arm Capacity'!BH19</f>
        <v>158.625</v>
      </c>
      <c r="BM85" s="97">
        <f>'Mast Arm Capacity'!BI19</f>
        <v>105.89999999999999</v>
      </c>
      <c r="BN85" s="97">
        <f>'Mast Arm Capacity'!BJ19</f>
        <v>64.599999999999994</v>
      </c>
      <c r="BO85" s="97">
        <f>'Mast Arm Capacity'!BK19</f>
        <v>30.049999999999997</v>
      </c>
      <c r="BP85" s="97">
        <f>'Mast Arm Capacity'!BL19</f>
        <v>0</v>
      </c>
      <c r="BQ85" s="97">
        <f>'Mast Arm Capacity'!BM19</f>
        <v>0</v>
      </c>
      <c r="BR85" s="97">
        <f>'Mast Arm Capacity'!BN19</f>
        <v>0</v>
      </c>
      <c r="BS85" s="189">
        <f>'Mast Arm Capacity'!BO19</f>
        <v>0</v>
      </c>
    </row>
    <row r="86" spans="4:71" x14ac:dyDescent="0.2">
      <c r="D86" s="263"/>
      <c r="E86" s="230">
        <v>40</v>
      </c>
      <c r="F86" s="188">
        <f>'Mast Arm Capacity'!B20</f>
        <v>339.79999999999995</v>
      </c>
      <c r="G86" s="97">
        <f>'Mast Arm Capacity'!C20</f>
        <v>249.79999999999998</v>
      </c>
      <c r="H86" s="97">
        <f>'Mast Arm Capacity'!D20</f>
        <v>249.79999999999998</v>
      </c>
      <c r="I86" s="97">
        <f>'Mast Arm Capacity'!E20</f>
        <v>249.79999999999998</v>
      </c>
      <c r="J86" s="97">
        <f>'Mast Arm Capacity'!F20</f>
        <v>249.79999999999998</v>
      </c>
      <c r="K86" s="97">
        <f>'Mast Arm Capacity'!G20</f>
        <v>170.60000000000002</v>
      </c>
      <c r="L86" s="97">
        <f>'Mast Arm Capacity'!H20</f>
        <v>170.60000000000002</v>
      </c>
      <c r="M86" s="97">
        <f>'Mast Arm Capacity'!I20</f>
        <v>95.6</v>
      </c>
      <c r="N86" s="97">
        <f>'Mast Arm Capacity'!J20</f>
        <v>95.6</v>
      </c>
      <c r="O86" s="97">
        <f>'Mast Arm Capacity'!K20</f>
        <v>0</v>
      </c>
      <c r="P86" s="189">
        <f>'Mast Arm Capacity'!L20</f>
        <v>0</v>
      </c>
      <c r="Q86" s="195">
        <f>'Mast Arm Capacity'!M20</f>
        <v>8513</v>
      </c>
      <c r="R86" s="97">
        <f>'Mast Arm Capacity'!N20</f>
        <v>6859</v>
      </c>
      <c r="S86" s="97">
        <f>'Mast Arm Capacity'!O20</f>
        <v>5610</v>
      </c>
      <c r="T86" s="97">
        <f>'Mast Arm Capacity'!P20</f>
        <v>4361</v>
      </c>
      <c r="U86" s="97">
        <f>'Mast Arm Capacity'!Q20</f>
        <v>3112</v>
      </c>
      <c r="V86" s="97">
        <f>'Mast Arm Capacity'!R20</f>
        <v>1959</v>
      </c>
      <c r="W86" s="97">
        <f>'Mast Arm Capacity'!S20</f>
        <v>1106</v>
      </c>
      <c r="X86" s="97">
        <f>'Mast Arm Capacity'!T20</f>
        <v>478</v>
      </c>
      <c r="Y86" s="97">
        <f>'Mast Arm Capacity'!U20</f>
        <v>0</v>
      </c>
      <c r="Z86" s="97">
        <f>'Mast Arm Capacity'!V20</f>
        <v>0</v>
      </c>
      <c r="AA86" s="196">
        <f>'Mast Arm Capacity'!W20</f>
        <v>0</v>
      </c>
      <c r="AB86" s="188">
        <f>'Mast Arm Capacity'!X20</f>
        <v>54.539999999999992</v>
      </c>
      <c r="AC86" s="97">
        <f>'Mast Arm Capacity'!Y20</f>
        <v>39.61</v>
      </c>
      <c r="AD86" s="97">
        <f>'Mast Arm Capacity'!Z20</f>
        <v>39.61</v>
      </c>
      <c r="AE86" s="97">
        <f>'Mast Arm Capacity'!AA20</f>
        <v>39.61</v>
      </c>
      <c r="AF86" s="97">
        <f>'Mast Arm Capacity'!AB20</f>
        <v>39.61</v>
      </c>
      <c r="AG86" s="97">
        <f>'Mast Arm Capacity'!AC20</f>
        <v>27.72</v>
      </c>
      <c r="AH86" s="97">
        <f>'Mast Arm Capacity'!AD20</f>
        <v>27.72</v>
      </c>
      <c r="AI86" s="97">
        <f>'Mast Arm Capacity'!AE20</f>
        <v>16.8</v>
      </c>
      <c r="AJ86" s="97">
        <f>'Mast Arm Capacity'!AF20</f>
        <v>16.8</v>
      </c>
      <c r="AK86" s="97">
        <f>'Mast Arm Capacity'!AG20</f>
        <v>0</v>
      </c>
      <c r="AL86" s="189">
        <f>'Mast Arm Capacity'!AH20</f>
        <v>0</v>
      </c>
      <c r="AM86" s="195">
        <f>'Mast Arm Capacity'!AI20</f>
        <v>1370.105</v>
      </c>
      <c r="AN86" s="97">
        <f>'Mast Arm Capacity'!AJ20</f>
        <v>1104.8699999999999</v>
      </c>
      <c r="AO86" s="97">
        <f>'Mast Arm Capacity'!AK20</f>
        <v>906.82</v>
      </c>
      <c r="AP86" s="97">
        <f>'Mast Arm Capacity'!AL20</f>
        <v>708.77</v>
      </c>
      <c r="AQ86" s="97">
        <f>'Mast Arm Capacity'!AM20</f>
        <v>510.72</v>
      </c>
      <c r="AR86" s="97">
        <f>'Mast Arm Capacity'!AN20</f>
        <v>328.44</v>
      </c>
      <c r="AS86" s="97">
        <f>'Mast Arm Capacity'!AO20</f>
        <v>189.84000000000003</v>
      </c>
      <c r="AT86" s="97">
        <f>'Mast Arm Capacity'!AP20</f>
        <v>84</v>
      </c>
      <c r="AU86" s="97">
        <f>'Mast Arm Capacity'!AQ20</f>
        <v>0</v>
      </c>
      <c r="AV86" s="97">
        <f>'Mast Arm Capacity'!AR20</f>
        <v>0</v>
      </c>
      <c r="AW86" s="196">
        <f>'Mast Arm Capacity'!AS20</f>
        <v>0</v>
      </c>
      <c r="AX86" s="188">
        <f>'Mast Arm Capacity'!AT20</f>
        <v>15.409999999999998</v>
      </c>
      <c r="AY86" s="97">
        <f>'Mast Arm Capacity'!AU20</f>
        <v>11.479999999999999</v>
      </c>
      <c r="AZ86" s="97">
        <f>'Mast Arm Capacity'!AV20</f>
        <v>11.479999999999999</v>
      </c>
      <c r="BA86" s="97">
        <f>'Mast Arm Capacity'!AW20</f>
        <v>11.479999999999999</v>
      </c>
      <c r="BB86" s="97">
        <f>'Mast Arm Capacity'!AX20</f>
        <v>11.479999999999999</v>
      </c>
      <c r="BC86" s="97">
        <f>'Mast Arm Capacity'!AY20</f>
        <v>8.26</v>
      </c>
      <c r="BD86" s="97">
        <f>'Mast Arm Capacity'!AZ20</f>
        <v>8.26</v>
      </c>
      <c r="BE86" s="97">
        <f>'Mast Arm Capacity'!BA20</f>
        <v>6.01</v>
      </c>
      <c r="BF86" s="97">
        <f>'Mast Arm Capacity'!BB20</f>
        <v>6.01</v>
      </c>
      <c r="BG86" s="97">
        <f>'Mast Arm Capacity'!BC20</f>
        <v>0</v>
      </c>
      <c r="BH86" s="189">
        <f>'Mast Arm Capacity'!BD20</f>
        <v>0</v>
      </c>
      <c r="BI86" s="188">
        <f>'Mast Arm Capacity'!BE20</f>
        <v>403.48500000000001</v>
      </c>
      <c r="BJ86" s="97">
        <f>'Mast Arm Capacity'!BF20</f>
        <v>328.4</v>
      </c>
      <c r="BK86" s="97">
        <f>'Mast Arm Capacity'!BG20</f>
        <v>271</v>
      </c>
      <c r="BL86" s="97">
        <f>'Mast Arm Capacity'!BH20</f>
        <v>213.6</v>
      </c>
      <c r="BM86" s="97">
        <f>'Mast Arm Capacity'!BI20</f>
        <v>156.20000000000002</v>
      </c>
      <c r="BN86" s="97">
        <f>'Mast Arm Capacity'!BJ20</f>
        <v>105.89999999999999</v>
      </c>
      <c r="BO86" s="97">
        <f>'Mast Arm Capacity'!BK20</f>
        <v>64.599999999999994</v>
      </c>
      <c r="BP86" s="97">
        <f>'Mast Arm Capacity'!BL20</f>
        <v>30.049999999999997</v>
      </c>
      <c r="BQ86" s="97">
        <f>'Mast Arm Capacity'!BM20</f>
        <v>0</v>
      </c>
      <c r="BR86" s="97">
        <f>'Mast Arm Capacity'!BN20</f>
        <v>0</v>
      </c>
      <c r="BS86" s="189">
        <f>'Mast Arm Capacity'!BO20</f>
        <v>0</v>
      </c>
    </row>
    <row r="87" spans="4:71" x14ac:dyDescent="0.2">
      <c r="D87" s="263"/>
      <c r="E87" s="230">
        <v>45</v>
      </c>
      <c r="F87" s="188">
        <f>'Mast Arm Capacity'!B21</f>
        <v>339.79999999999995</v>
      </c>
      <c r="G87" s="97">
        <f>'Mast Arm Capacity'!C21</f>
        <v>249.79999999999998</v>
      </c>
      <c r="H87" s="97">
        <f>'Mast Arm Capacity'!D21</f>
        <v>249.79999999999998</v>
      </c>
      <c r="I87" s="97">
        <f>'Mast Arm Capacity'!E21</f>
        <v>249.79999999999998</v>
      </c>
      <c r="J87" s="97">
        <f>'Mast Arm Capacity'!F21</f>
        <v>249.79999999999998</v>
      </c>
      <c r="K87" s="97">
        <f>'Mast Arm Capacity'!G21</f>
        <v>245.6</v>
      </c>
      <c r="L87" s="97">
        <f>'Mast Arm Capacity'!H21</f>
        <v>170.60000000000002</v>
      </c>
      <c r="M87" s="97">
        <f>'Mast Arm Capacity'!I21</f>
        <v>170.60000000000002</v>
      </c>
      <c r="N87" s="97">
        <f>'Mast Arm Capacity'!J21</f>
        <v>95.6</v>
      </c>
      <c r="O87" s="97">
        <f>'Mast Arm Capacity'!K21</f>
        <v>95.6</v>
      </c>
      <c r="P87" s="189">
        <f>'Mast Arm Capacity'!L21</f>
        <v>0</v>
      </c>
      <c r="Q87" s="195">
        <f>'Mast Arm Capacity'!M21</f>
        <v>9751.5</v>
      </c>
      <c r="R87" s="97">
        <f>'Mast Arm Capacity'!N21</f>
        <v>8097.5</v>
      </c>
      <c r="S87" s="97">
        <f>'Mast Arm Capacity'!O21</f>
        <v>6848.5</v>
      </c>
      <c r="T87" s="97">
        <f>'Mast Arm Capacity'!P21</f>
        <v>5599.5</v>
      </c>
      <c r="U87" s="97">
        <f>'Mast Arm Capacity'!Q21</f>
        <v>4350.5</v>
      </c>
      <c r="V87" s="97">
        <f>'Mast Arm Capacity'!R21</f>
        <v>3112</v>
      </c>
      <c r="W87" s="97">
        <f>'Mast Arm Capacity'!S21</f>
        <v>1959</v>
      </c>
      <c r="X87" s="97">
        <f>'Mast Arm Capacity'!T21</f>
        <v>1106</v>
      </c>
      <c r="Y87" s="97">
        <f>'Mast Arm Capacity'!U21</f>
        <v>478</v>
      </c>
      <c r="Z87" s="97">
        <f>'Mast Arm Capacity'!V21</f>
        <v>0</v>
      </c>
      <c r="AA87" s="196">
        <f>'Mast Arm Capacity'!W21</f>
        <v>0</v>
      </c>
      <c r="AB87" s="188">
        <f>'Mast Arm Capacity'!X21</f>
        <v>54.539999999999992</v>
      </c>
      <c r="AC87" s="97">
        <f>'Mast Arm Capacity'!Y21</f>
        <v>39.61</v>
      </c>
      <c r="AD87" s="97">
        <f>'Mast Arm Capacity'!Z21</f>
        <v>39.61</v>
      </c>
      <c r="AE87" s="97">
        <f>'Mast Arm Capacity'!AA21</f>
        <v>39.61</v>
      </c>
      <c r="AF87" s="97">
        <f>'Mast Arm Capacity'!AB21</f>
        <v>39.61</v>
      </c>
      <c r="AG87" s="97">
        <f>'Mast Arm Capacity'!AC21</f>
        <v>38.64</v>
      </c>
      <c r="AH87" s="97">
        <f>'Mast Arm Capacity'!AD21</f>
        <v>27.72</v>
      </c>
      <c r="AI87" s="97">
        <f>'Mast Arm Capacity'!AE21</f>
        <v>27.72</v>
      </c>
      <c r="AJ87" s="97">
        <f>'Mast Arm Capacity'!AF21</f>
        <v>16.8</v>
      </c>
      <c r="AK87" s="97">
        <f>'Mast Arm Capacity'!AG21</f>
        <v>16.8</v>
      </c>
      <c r="AL87" s="189">
        <f>'Mast Arm Capacity'!AH21</f>
        <v>0</v>
      </c>
      <c r="AM87" s="195">
        <f>'Mast Arm Capacity'!AI21</f>
        <v>1565.73</v>
      </c>
      <c r="AN87" s="97">
        <f>'Mast Arm Capacity'!AJ21</f>
        <v>1300.4949999999999</v>
      </c>
      <c r="AO87" s="97">
        <f>'Mast Arm Capacity'!AK21</f>
        <v>1102.4450000000002</v>
      </c>
      <c r="AP87" s="97">
        <f>'Mast Arm Capacity'!AL21</f>
        <v>904.39499999999998</v>
      </c>
      <c r="AQ87" s="97">
        <f>'Mast Arm Capacity'!AM21</f>
        <v>706.34500000000003</v>
      </c>
      <c r="AR87" s="97">
        <f>'Mast Arm Capacity'!AN21</f>
        <v>510.72</v>
      </c>
      <c r="AS87" s="97">
        <f>'Mast Arm Capacity'!AO21</f>
        <v>328.44</v>
      </c>
      <c r="AT87" s="97">
        <f>'Mast Arm Capacity'!AP21</f>
        <v>189.84000000000003</v>
      </c>
      <c r="AU87" s="97">
        <f>'Mast Arm Capacity'!AQ21</f>
        <v>84</v>
      </c>
      <c r="AV87" s="97">
        <f>'Mast Arm Capacity'!AR21</f>
        <v>0</v>
      </c>
      <c r="AW87" s="196">
        <f>'Mast Arm Capacity'!AS21</f>
        <v>0</v>
      </c>
      <c r="AX87" s="188">
        <f>'Mast Arm Capacity'!AT21</f>
        <v>15.409999999999998</v>
      </c>
      <c r="AY87" s="97">
        <f>'Mast Arm Capacity'!AU21</f>
        <v>11.479999999999999</v>
      </c>
      <c r="AZ87" s="97">
        <f>'Mast Arm Capacity'!AV21</f>
        <v>11.479999999999999</v>
      </c>
      <c r="BA87" s="97">
        <f>'Mast Arm Capacity'!AW21</f>
        <v>11.479999999999999</v>
      </c>
      <c r="BB87" s="97">
        <f>'Mast Arm Capacity'!AX21</f>
        <v>11.479999999999999</v>
      </c>
      <c r="BC87" s="97">
        <f>'Mast Arm Capacity'!AY21</f>
        <v>10.51</v>
      </c>
      <c r="BD87" s="97">
        <f>'Mast Arm Capacity'!AZ21</f>
        <v>8.26</v>
      </c>
      <c r="BE87" s="97">
        <f>'Mast Arm Capacity'!BA21</f>
        <v>8.26</v>
      </c>
      <c r="BF87" s="97">
        <f>'Mast Arm Capacity'!BB21</f>
        <v>6.01</v>
      </c>
      <c r="BG87" s="97">
        <f>'Mast Arm Capacity'!BC21</f>
        <v>6.01</v>
      </c>
      <c r="BH87" s="189">
        <f>'Mast Arm Capacity'!BD21</f>
        <v>0</v>
      </c>
      <c r="BI87" s="188">
        <f>'Mast Arm Capacity'!BE21</f>
        <v>458.46000000000004</v>
      </c>
      <c r="BJ87" s="97">
        <f>'Mast Arm Capacity'!BF21</f>
        <v>383.37500000000006</v>
      </c>
      <c r="BK87" s="97">
        <f>'Mast Arm Capacity'!BG21</f>
        <v>325.97499999999997</v>
      </c>
      <c r="BL87" s="97">
        <f>'Mast Arm Capacity'!BH21</f>
        <v>268.57499999999999</v>
      </c>
      <c r="BM87" s="97">
        <f>'Mast Arm Capacity'!BI21</f>
        <v>211.17500000000001</v>
      </c>
      <c r="BN87" s="97">
        <f>'Mast Arm Capacity'!BJ21</f>
        <v>156.20000000000002</v>
      </c>
      <c r="BO87" s="97">
        <f>'Mast Arm Capacity'!BK21</f>
        <v>105.89999999999999</v>
      </c>
      <c r="BP87" s="97">
        <f>'Mast Arm Capacity'!BL21</f>
        <v>64.599999999999994</v>
      </c>
      <c r="BQ87" s="97">
        <f>'Mast Arm Capacity'!BM21</f>
        <v>30.049999999999997</v>
      </c>
      <c r="BR87" s="97">
        <f>'Mast Arm Capacity'!BN21</f>
        <v>0</v>
      </c>
      <c r="BS87" s="189">
        <f>'Mast Arm Capacity'!BO21</f>
        <v>0</v>
      </c>
    </row>
    <row r="88" spans="4:71" ht="13.5" thickBot="1" x14ac:dyDescent="0.25">
      <c r="D88" s="264"/>
      <c r="E88" s="231">
        <v>50</v>
      </c>
      <c r="F88" s="190">
        <f>'Mast Arm Capacity'!B22</f>
        <v>414.79999999999995</v>
      </c>
      <c r="G88" s="191">
        <f>'Mast Arm Capacity'!C22</f>
        <v>324.79999999999995</v>
      </c>
      <c r="H88" s="191">
        <f>'Mast Arm Capacity'!D22</f>
        <v>324.79999999999995</v>
      </c>
      <c r="I88" s="191">
        <f>'Mast Arm Capacity'!E22</f>
        <v>324.79999999999995</v>
      </c>
      <c r="J88" s="191">
        <f>'Mast Arm Capacity'!F22</f>
        <v>324.79999999999995</v>
      </c>
      <c r="K88" s="191">
        <f>'Mast Arm Capacity'!G22</f>
        <v>324.79999999999995</v>
      </c>
      <c r="L88" s="191">
        <f>'Mast Arm Capacity'!H22</f>
        <v>245.6</v>
      </c>
      <c r="M88" s="191">
        <f>'Mast Arm Capacity'!I22</f>
        <v>170.60000000000002</v>
      </c>
      <c r="N88" s="191">
        <f>'Mast Arm Capacity'!J22</f>
        <v>170.60000000000002</v>
      </c>
      <c r="O88" s="191">
        <f>'Mast Arm Capacity'!K22</f>
        <v>95.6</v>
      </c>
      <c r="P88" s="192">
        <f>'Mast Arm Capacity'!L22</f>
        <v>95.6</v>
      </c>
      <c r="Q88" s="197">
        <f>'Mast Arm Capacity'!M22</f>
        <v>12940</v>
      </c>
      <c r="R88" s="191">
        <f>'Mast Arm Capacity'!N22</f>
        <v>10911</v>
      </c>
      <c r="S88" s="191">
        <f>'Mast Arm Capacity'!O22</f>
        <v>9287</v>
      </c>
      <c r="T88" s="191">
        <f>'Mast Arm Capacity'!P22</f>
        <v>7663</v>
      </c>
      <c r="U88" s="191">
        <f>'Mast Arm Capacity'!Q22</f>
        <v>6039</v>
      </c>
      <c r="V88" s="191">
        <f>'Mast Arm Capacity'!R22</f>
        <v>4415</v>
      </c>
      <c r="W88" s="191">
        <f>'Mast Arm Capacity'!S22</f>
        <v>3112</v>
      </c>
      <c r="X88" s="191">
        <f>'Mast Arm Capacity'!T22</f>
        <v>1959</v>
      </c>
      <c r="Y88" s="191">
        <f>'Mast Arm Capacity'!U22</f>
        <v>1106</v>
      </c>
      <c r="Z88" s="191">
        <f>'Mast Arm Capacity'!V22</f>
        <v>478</v>
      </c>
      <c r="AA88" s="198">
        <f>'Mast Arm Capacity'!W22</f>
        <v>0</v>
      </c>
      <c r="AB88" s="190">
        <f>'Mast Arm Capacity'!X22</f>
        <v>65.459999999999994</v>
      </c>
      <c r="AC88" s="191">
        <f>'Mast Arm Capacity'!Y22</f>
        <v>50.53</v>
      </c>
      <c r="AD88" s="191">
        <f>'Mast Arm Capacity'!Z22</f>
        <v>50.53</v>
      </c>
      <c r="AE88" s="191">
        <f>'Mast Arm Capacity'!AA22</f>
        <v>50.53</v>
      </c>
      <c r="AF88" s="191">
        <f>'Mast Arm Capacity'!AB22</f>
        <v>50.53</v>
      </c>
      <c r="AG88" s="191">
        <f>'Mast Arm Capacity'!AC22</f>
        <v>50.53</v>
      </c>
      <c r="AH88" s="191">
        <f>'Mast Arm Capacity'!AD22</f>
        <v>38.64</v>
      </c>
      <c r="AI88" s="191">
        <f>'Mast Arm Capacity'!AE22</f>
        <v>27.72</v>
      </c>
      <c r="AJ88" s="191">
        <f>'Mast Arm Capacity'!AF22</f>
        <v>27.72</v>
      </c>
      <c r="AK88" s="191">
        <f>'Mast Arm Capacity'!AG22</f>
        <v>16.8</v>
      </c>
      <c r="AL88" s="192">
        <f>'Mast Arm Capacity'!AH22</f>
        <v>16.8</v>
      </c>
      <c r="AM88" s="197">
        <f>'Mast Arm Capacity'!AI22</f>
        <v>2045.2750000000001</v>
      </c>
      <c r="AN88" s="191">
        <f>'Mast Arm Capacity'!AJ22</f>
        <v>1725.4399999999998</v>
      </c>
      <c r="AO88" s="191">
        <f>'Mast Arm Capacity'!AK22</f>
        <v>1472.79</v>
      </c>
      <c r="AP88" s="191">
        <f>'Mast Arm Capacity'!AL22</f>
        <v>1220.1399999999999</v>
      </c>
      <c r="AQ88" s="191">
        <f>'Mast Arm Capacity'!AM22</f>
        <v>967.49</v>
      </c>
      <c r="AR88" s="191">
        <f>'Mast Arm Capacity'!AN22</f>
        <v>714.83999999999992</v>
      </c>
      <c r="AS88" s="191">
        <f>'Mast Arm Capacity'!AO22</f>
        <v>510.72</v>
      </c>
      <c r="AT88" s="191">
        <f>'Mast Arm Capacity'!AP22</f>
        <v>328.44</v>
      </c>
      <c r="AU88" s="191">
        <f>'Mast Arm Capacity'!AQ22</f>
        <v>189.84000000000003</v>
      </c>
      <c r="AV88" s="191">
        <f>'Mast Arm Capacity'!AR22</f>
        <v>84</v>
      </c>
      <c r="AW88" s="198">
        <f>'Mast Arm Capacity'!AS22</f>
        <v>0</v>
      </c>
      <c r="AX88" s="190">
        <f>'Mast Arm Capacity'!AT22</f>
        <v>17.659999999999997</v>
      </c>
      <c r="AY88" s="191">
        <f>'Mast Arm Capacity'!AU22</f>
        <v>13.729999999999999</v>
      </c>
      <c r="AZ88" s="191">
        <f>'Mast Arm Capacity'!AV22</f>
        <v>13.729999999999999</v>
      </c>
      <c r="BA88" s="191">
        <f>'Mast Arm Capacity'!AW22</f>
        <v>13.729999999999999</v>
      </c>
      <c r="BB88" s="191">
        <f>'Mast Arm Capacity'!AX22</f>
        <v>13.729999999999999</v>
      </c>
      <c r="BC88" s="191">
        <f>'Mast Arm Capacity'!AY22</f>
        <v>13.729999999999999</v>
      </c>
      <c r="BD88" s="191">
        <f>'Mast Arm Capacity'!AZ22</f>
        <v>10.51</v>
      </c>
      <c r="BE88" s="191">
        <f>'Mast Arm Capacity'!BA22</f>
        <v>8.26</v>
      </c>
      <c r="BF88" s="191">
        <f>'Mast Arm Capacity'!BB22</f>
        <v>8.26</v>
      </c>
      <c r="BG88" s="191">
        <f>'Mast Arm Capacity'!BC22</f>
        <v>6.01</v>
      </c>
      <c r="BH88" s="192">
        <f>'Mast Arm Capacity'!BD22</f>
        <v>6.01</v>
      </c>
      <c r="BI88" s="190">
        <f>'Mast Arm Capacity'!BE22</f>
        <v>571.93499999999995</v>
      </c>
      <c r="BJ88" s="191">
        <f>'Mast Arm Capacity'!BF22</f>
        <v>485.6</v>
      </c>
      <c r="BK88" s="191">
        <f>'Mast Arm Capacity'!BG22</f>
        <v>416.95000000000005</v>
      </c>
      <c r="BL88" s="191">
        <f>'Mast Arm Capacity'!BH22</f>
        <v>348.29999999999995</v>
      </c>
      <c r="BM88" s="191">
        <f>'Mast Arm Capacity'!BI22</f>
        <v>279.64999999999998</v>
      </c>
      <c r="BN88" s="191">
        <f>'Mast Arm Capacity'!BJ22</f>
        <v>211</v>
      </c>
      <c r="BO88" s="191">
        <f>'Mast Arm Capacity'!BK22</f>
        <v>156.20000000000002</v>
      </c>
      <c r="BP88" s="191">
        <f>'Mast Arm Capacity'!BL22</f>
        <v>105.89999999999999</v>
      </c>
      <c r="BQ88" s="191">
        <f>'Mast Arm Capacity'!BM22</f>
        <v>64.599999999999994</v>
      </c>
      <c r="BR88" s="191">
        <f>'Mast Arm Capacity'!BN22</f>
        <v>30.049999999999997</v>
      </c>
      <c r="BS88" s="192">
        <f>'Mast Arm Capacity'!BO22</f>
        <v>0</v>
      </c>
    </row>
    <row r="89" spans="4:71" x14ac:dyDescent="0.2">
      <c r="D89" s="259" t="s">
        <v>340</v>
      </c>
      <c r="E89" s="229">
        <v>25</v>
      </c>
      <c r="F89" s="185">
        <f>IF(AND(F$77=0,F83=0),0,IF(F83=0,"NA",F$77/F83))</f>
        <v>0</v>
      </c>
      <c r="G89" s="186">
        <f t="shared" ref="G89:BR89" si="129">IF(AND(G$77=0,G83=0),0,IF(G83=0,"NA",G$77/G83))</f>
        <v>0</v>
      </c>
      <c r="H89" s="186">
        <f t="shared" si="129"/>
        <v>0</v>
      </c>
      <c r="I89" s="186">
        <f t="shared" si="129"/>
        <v>0</v>
      </c>
      <c r="J89" s="186">
        <f t="shared" si="129"/>
        <v>0</v>
      </c>
      <c r="K89" s="186">
        <f t="shared" si="129"/>
        <v>0</v>
      </c>
      <c r="L89" s="186">
        <f t="shared" si="129"/>
        <v>0</v>
      </c>
      <c r="M89" s="186">
        <f t="shared" si="129"/>
        <v>0</v>
      </c>
      <c r="N89" s="186">
        <f t="shared" si="129"/>
        <v>0</v>
      </c>
      <c r="O89" s="186">
        <f t="shared" si="129"/>
        <v>0</v>
      </c>
      <c r="P89" s="187">
        <f t="shared" si="129"/>
        <v>0</v>
      </c>
      <c r="Q89" s="193">
        <f t="shared" si="129"/>
        <v>0</v>
      </c>
      <c r="R89" s="186">
        <f t="shared" si="129"/>
        <v>0</v>
      </c>
      <c r="S89" s="186">
        <f t="shared" si="129"/>
        <v>0</v>
      </c>
      <c r="T89" s="186">
        <f t="shared" si="129"/>
        <v>0</v>
      </c>
      <c r="U89" s="186">
        <f t="shared" si="129"/>
        <v>0</v>
      </c>
      <c r="V89" s="186">
        <f t="shared" si="129"/>
        <v>0</v>
      </c>
      <c r="W89" s="186">
        <f t="shared" si="129"/>
        <v>0</v>
      </c>
      <c r="X89" s="186">
        <f t="shared" si="129"/>
        <v>0</v>
      </c>
      <c r="Y89" s="186">
        <f t="shared" si="129"/>
        <v>0</v>
      </c>
      <c r="Z89" s="186">
        <f t="shared" si="129"/>
        <v>0</v>
      </c>
      <c r="AA89" s="194">
        <f t="shared" si="129"/>
        <v>0</v>
      </c>
      <c r="AB89" s="185">
        <f t="shared" si="129"/>
        <v>0</v>
      </c>
      <c r="AC89" s="186">
        <f t="shared" si="129"/>
        <v>0</v>
      </c>
      <c r="AD89" s="186">
        <f t="shared" si="129"/>
        <v>0</v>
      </c>
      <c r="AE89" s="186">
        <f t="shared" si="129"/>
        <v>0</v>
      </c>
      <c r="AF89" s="186">
        <f t="shared" si="129"/>
        <v>0</v>
      </c>
      <c r="AG89" s="186">
        <f t="shared" si="129"/>
        <v>0</v>
      </c>
      <c r="AH89" s="186">
        <f t="shared" si="129"/>
        <v>0</v>
      </c>
      <c r="AI89" s="186">
        <f t="shared" si="129"/>
        <v>0</v>
      </c>
      <c r="AJ89" s="186">
        <f t="shared" si="129"/>
        <v>0</v>
      </c>
      <c r="AK89" s="186">
        <f t="shared" si="129"/>
        <v>0</v>
      </c>
      <c r="AL89" s="187">
        <f t="shared" si="129"/>
        <v>0</v>
      </c>
      <c r="AM89" s="193">
        <f t="shared" si="129"/>
        <v>0</v>
      </c>
      <c r="AN89" s="186">
        <f t="shared" si="129"/>
        <v>0</v>
      </c>
      <c r="AO89" s="186">
        <f t="shared" si="129"/>
        <v>0</v>
      </c>
      <c r="AP89" s="186">
        <f t="shared" si="129"/>
        <v>0</v>
      </c>
      <c r="AQ89" s="186">
        <f t="shared" si="129"/>
        <v>0</v>
      </c>
      <c r="AR89" s="186">
        <f t="shared" si="129"/>
        <v>0</v>
      </c>
      <c r="AS89" s="186">
        <f t="shared" si="129"/>
        <v>0</v>
      </c>
      <c r="AT89" s="186">
        <f t="shared" si="129"/>
        <v>0</v>
      </c>
      <c r="AU89" s="186">
        <f t="shared" si="129"/>
        <v>0</v>
      </c>
      <c r="AV89" s="186">
        <f t="shared" si="129"/>
        <v>0</v>
      </c>
      <c r="AW89" s="194">
        <f t="shared" si="129"/>
        <v>0</v>
      </c>
      <c r="AX89" s="185">
        <f t="shared" si="129"/>
        <v>0</v>
      </c>
      <c r="AY89" s="186">
        <f t="shared" si="129"/>
        <v>0</v>
      </c>
      <c r="AZ89" s="186">
        <f t="shared" si="129"/>
        <v>0</v>
      </c>
      <c r="BA89" s="186">
        <f t="shared" si="129"/>
        <v>0</v>
      </c>
      <c r="BB89" s="186">
        <f t="shared" si="129"/>
        <v>0</v>
      </c>
      <c r="BC89" s="186">
        <f t="shared" si="129"/>
        <v>0</v>
      </c>
      <c r="BD89" s="186">
        <f t="shared" si="129"/>
        <v>0</v>
      </c>
      <c r="BE89" s="186">
        <f t="shared" si="129"/>
        <v>0</v>
      </c>
      <c r="BF89" s="186">
        <f t="shared" si="129"/>
        <v>0</v>
      </c>
      <c r="BG89" s="186">
        <f t="shared" si="129"/>
        <v>0</v>
      </c>
      <c r="BH89" s="187">
        <f t="shared" si="129"/>
        <v>0</v>
      </c>
      <c r="BI89" s="185">
        <f t="shared" si="129"/>
        <v>0</v>
      </c>
      <c r="BJ89" s="186">
        <f t="shared" si="129"/>
        <v>0</v>
      </c>
      <c r="BK89" s="186">
        <f t="shared" si="129"/>
        <v>0</v>
      </c>
      <c r="BL89" s="186">
        <f t="shared" si="129"/>
        <v>0</v>
      </c>
      <c r="BM89" s="186">
        <f t="shared" si="129"/>
        <v>0</v>
      </c>
      <c r="BN89" s="186">
        <f t="shared" si="129"/>
        <v>0</v>
      </c>
      <c r="BO89" s="186">
        <f t="shared" si="129"/>
        <v>0</v>
      </c>
      <c r="BP89" s="186">
        <f t="shared" si="129"/>
        <v>0</v>
      </c>
      <c r="BQ89" s="186">
        <f t="shared" si="129"/>
        <v>0</v>
      </c>
      <c r="BR89" s="186">
        <f t="shared" si="129"/>
        <v>0</v>
      </c>
      <c r="BS89" s="187">
        <f t="shared" ref="BS89" si="130">IF(AND(BS$77=0,BS83=0),0,IF(BS83=0,"NA",BS$77/BS83))</f>
        <v>0</v>
      </c>
    </row>
    <row r="90" spans="4:71" x14ac:dyDescent="0.2">
      <c r="D90" s="260"/>
      <c r="E90" s="230">
        <v>30</v>
      </c>
      <c r="F90" s="188">
        <f t="shared" ref="F90:F94" si="131">IF(AND(F$77=0,F84=0),0,IF(F84=0,"NA",F$77/F84))</f>
        <v>0</v>
      </c>
      <c r="G90" s="97">
        <f t="shared" ref="G90:BR90" si="132">IF(AND(G$77=0,G84=0),0,IF(G84=0,"NA",G$77/G84))</f>
        <v>0</v>
      </c>
      <c r="H90" s="97">
        <f t="shared" si="132"/>
        <v>0</v>
      </c>
      <c r="I90" s="97">
        <f t="shared" si="132"/>
        <v>0</v>
      </c>
      <c r="J90" s="97">
        <f t="shared" si="132"/>
        <v>0</v>
      </c>
      <c r="K90" s="97">
        <f t="shared" si="132"/>
        <v>0</v>
      </c>
      <c r="L90" s="97">
        <f t="shared" si="132"/>
        <v>0</v>
      </c>
      <c r="M90" s="97">
        <f t="shared" si="132"/>
        <v>0</v>
      </c>
      <c r="N90" s="97">
        <f t="shared" si="132"/>
        <v>0</v>
      </c>
      <c r="O90" s="97">
        <f t="shared" si="132"/>
        <v>0</v>
      </c>
      <c r="P90" s="189">
        <f t="shared" si="132"/>
        <v>0</v>
      </c>
      <c r="Q90" s="195">
        <f t="shared" si="132"/>
        <v>0</v>
      </c>
      <c r="R90" s="97">
        <f t="shared" si="132"/>
        <v>0</v>
      </c>
      <c r="S90" s="97">
        <f t="shared" si="132"/>
        <v>0</v>
      </c>
      <c r="T90" s="97">
        <f t="shared" si="132"/>
        <v>0</v>
      </c>
      <c r="U90" s="97">
        <f t="shared" si="132"/>
        <v>0</v>
      </c>
      <c r="V90" s="97">
        <f t="shared" si="132"/>
        <v>0</v>
      </c>
      <c r="W90" s="97">
        <f t="shared" si="132"/>
        <v>0</v>
      </c>
      <c r="X90" s="97">
        <f t="shared" si="132"/>
        <v>0</v>
      </c>
      <c r="Y90" s="97">
        <f t="shared" si="132"/>
        <v>0</v>
      </c>
      <c r="Z90" s="97">
        <f t="shared" si="132"/>
        <v>0</v>
      </c>
      <c r="AA90" s="196">
        <f t="shared" si="132"/>
        <v>0</v>
      </c>
      <c r="AB90" s="188">
        <f t="shared" si="132"/>
        <v>0</v>
      </c>
      <c r="AC90" s="97">
        <f t="shared" si="132"/>
        <v>0</v>
      </c>
      <c r="AD90" s="97">
        <f t="shared" si="132"/>
        <v>0</v>
      </c>
      <c r="AE90" s="97">
        <f t="shared" si="132"/>
        <v>0</v>
      </c>
      <c r="AF90" s="97">
        <f t="shared" si="132"/>
        <v>0</v>
      </c>
      <c r="AG90" s="97">
        <f t="shared" si="132"/>
        <v>0</v>
      </c>
      <c r="AH90" s="97">
        <f t="shared" si="132"/>
        <v>0</v>
      </c>
      <c r="AI90" s="97">
        <f t="shared" si="132"/>
        <v>0</v>
      </c>
      <c r="AJ90" s="97">
        <f t="shared" si="132"/>
        <v>0</v>
      </c>
      <c r="AK90" s="97">
        <f t="shared" si="132"/>
        <v>0</v>
      </c>
      <c r="AL90" s="189">
        <f t="shared" si="132"/>
        <v>0</v>
      </c>
      <c r="AM90" s="195">
        <f t="shared" si="132"/>
        <v>0</v>
      </c>
      <c r="AN90" s="97">
        <f t="shared" si="132"/>
        <v>0</v>
      </c>
      <c r="AO90" s="97">
        <f t="shared" si="132"/>
        <v>0</v>
      </c>
      <c r="AP90" s="97">
        <f t="shared" si="132"/>
        <v>0</v>
      </c>
      <c r="AQ90" s="97">
        <f t="shared" si="132"/>
        <v>0</v>
      </c>
      <c r="AR90" s="97">
        <f t="shared" si="132"/>
        <v>0</v>
      </c>
      <c r="AS90" s="97">
        <f t="shared" si="132"/>
        <v>0</v>
      </c>
      <c r="AT90" s="97">
        <f t="shared" si="132"/>
        <v>0</v>
      </c>
      <c r="AU90" s="97">
        <f t="shared" si="132"/>
        <v>0</v>
      </c>
      <c r="AV90" s="97">
        <f t="shared" si="132"/>
        <v>0</v>
      </c>
      <c r="AW90" s="196">
        <f t="shared" si="132"/>
        <v>0</v>
      </c>
      <c r="AX90" s="188">
        <f t="shared" si="132"/>
        <v>0</v>
      </c>
      <c r="AY90" s="97">
        <f t="shared" si="132"/>
        <v>0</v>
      </c>
      <c r="AZ90" s="97">
        <f t="shared" si="132"/>
        <v>0</v>
      </c>
      <c r="BA90" s="97">
        <f t="shared" si="132"/>
        <v>0</v>
      </c>
      <c r="BB90" s="97">
        <f t="shared" si="132"/>
        <v>0</v>
      </c>
      <c r="BC90" s="97">
        <f t="shared" si="132"/>
        <v>0</v>
      </c>
      <c r="BD90" s="97">
        <f t="shared" si="132"/>
        <v>0</v>
      </c>
      <c r="BE90" s="97">
        <f t="shared" si="132"/>
        <v>0</v>
      </c>
      <c r="BF90" s="97">
        <f t="shared" si="132"/>
        <v>0</v>
      </c>
      <c r="BG90" s="97">
        <f t="shared" si="132"/>
        <v>0</v>
      </c>
      <c r="BH90" s="189">
        <f t="shared" si="132"/>
        <v>0</v>
      </c>
      <c r="BI90" s="188">
        <f t="shared" si="132"/>
        <v>0</v>
      </c>
      <c r="BJ90" s="97">
        <f t="shared" si="132"/>
        <v>0</v>
      </c>
      <c r="BK90" s="97">
        <f t="shared" si="132"/>
        <v>0</v>
      </c>
      <c r="BL90" s="97">
        <f t="shared" si="132"/>
        <v>0</v>
      </c>
      <c r="BM90" s="97">
        <f t="shared" si="132"/>
        <v>0</v>
      </c>
      <c r="BN90" s="97">
        <f t="shared" si="132"/>
        <v>0</v>
      </c>
      <c r="BO90" s="97">
        <f t="shared" si="132"/>
        <v>0</v>
      </c>
      <c r="BP90" s="97">
        <f t="shared" si="132"/>
        <v>0</v>
      </c>
      <c r="BQ90" s="97">
        <f t="shared" si="132"/>
        <v>0</v>
      </c>
      <c r="BR90" s="97">
        <f t="shared" si="132"/>
        <v>0</v>
      </c>
      <c r="BS90" s="189">
        <f t="shared" ref="BS90" si="133">IF(AND(BS$77=0,BS84=0),0,IF(BS84=0,"NA",BS$77/BS84))</f>
        <v>0</v>
      </c>
    </row>
    <row r="91" spans="4:71" x14ac:dyDescent="0.2">
      <c r="D91" s="260"/>
      <c r="E91" s="230">
        <v>35</v>
      </c>
      <c r="F91" s="188">
        <f t="shared" si="131"/>
        <v>0</v>
      </c>
      <c r="G91" s="97">
        <f t="shared" ref="G91:BR91" si="134">IF(AND(G$77=0,G85=0),0,IF(G85=0,"NA",G$77/G85))</f>
        <v>0</v>
      </c>
      <c r="H91" s="97">
        <f t="shared" si="134"/>
        <v>0</v>
      </c>
      <c r="I91" s="97">
        <f t="shared" si="134"/>
        <v>0</v>
      </c>
      <c r="J91" s="97">
        <f t="shared" si="134"/>
        <v>0</v>
      </c>
      <c r="K91" s="97">
        <f t="shared" si="134"/>
        <v>0</v>
      </c>
      <c r="L91" s="97">
        <f t="shared" si="134"/>
        <v>0</v>
      </c>
      <c r="M91" s="97">
        <f t="shared" si="134"/>
        <v>0</v>
      </c>
      <c r="N91" s="97">
        <f t="shared" si="134"/>
        <v>0</v>
      </c>
      <c r="O91" s="97">
        <f t="shared" si="134"/>
        <v>0</v>
      </c>
      <c r="P91" s="189">
        <f t="shared" si="134"/>
        <v>0</v>
      </c>
      <c r="Q91" s="195">
        <f t="shared" si="134"/>
        <v>0</v>
      </c>
      <c r="R91" s="97">
        <f t="shared" si="134"/>
        <v>0</v>
      </c>
      <c r="S91" s="97">
        <f t="shared" si="134"/>
        <v>0</v>
      </c>
      <c r="T91" s="97">
        <f t="shared" si="134"/>
        <v>0</v>
      </c>
      <c r="U91" s="97">
        <f t="shared" si="134"/>
        <v>0</v>
      </c>
      <c r="V91" s="97">
        <f t="shared" si="134"/>
        <v>0</v>
      </c>
      <c r="W91" s="97">
        <f t="shared" si="134"/>
        <v>0</v>
      </c>
      <c r="X91" s="97">
        <f t="shared" si="134"/>
        <v>0</v>
      </c>
      <c r="Y91" s="97">
        <f t="shared" si="134"/>
        <v>0</v>
      </c>
      <c r="Z91" s="97">
        <f t="shared" si="134"/>
        <v>0</v>
      </c>
      <c r="AA91" s="196">
        <f t="shared" si="134"/>
        <v>0</v>
      </c>
      <c r="AB91" s="188">
        <f t="shared" si="134"/>
        <v>0</v>
      </c>
      <c r="AC91" s="97">
        <f t="shared" si="134"/>
        <v>0</v>
      </c>
      <c r="AD91" s="97">
        <f t="shared" si="134"/>
        <v>0</v>
      </c>
      <c r="AE91" s="97">
        <f t="shared" si="134"/>
        <v>0</v>
      </c>
      <c r="AF91" s="97">
        <f t="shared" si="134"/>
        <v>0</v>
      </c>
      <c r="AG91" s="97">
        <f t="shared" si="134"/>
        <v>0</v>
      </c>
      <c r="AH91" s="97">
        <f t="shared" si="134"/>
        <v>0</v>
      </c>
      <c r="AI91" s="97">
        <f t="shared" si="134"/>
        <v>0</v>
      </c>
      <c r="AJ91" s="97">
        <f t="shared" si="134"/>
        <v>0</v>
      </c>
      <c r="AK91" s="97">
        <f t="shared" si="134"/>
        <v>0</v>
      </c>
      <c r="AL91" s="189">
        <f t="shared" si="134"/>
        <v>0</v>
      </c>
      <c r="AM91" s="195">
        <f t="shared" si="134"/>
        <v>0</v>
      </c>
      <c r="AN91" s="97">
        <f t="shared" si="134"/>
        <v>0</v>
      </c>
      <c r="AO91" s="97">
        <f t="shared" si="134"/>
        <v>0</v>
      </c>
      <c r="AP91" s="97">
        <f t="shared" si="134"/>
        <v>0</v>
      </c>
      <c r="AQ91" s="97">
        <f t="shared" si="134"/>
        <v>0</v>
      </c>
      <c r="AR91" s="97">
        <f t="shared" si="134"/>
        <v>0</v>
      </c>
      <c r="AS91" s="97">
        <f t="shared" si="134"/>
        <v>0</v>
      </c>
      <c r="AT91" s="97">
        <f t="shared" si="134"/>
        <v>0</v>
      </c>
      <c r="AU91" s="97">
        <f t="shared" si="134"/>
        <v>0</v>
      </c>
      <c r="AV91" s="97">
        <f t="shared" si="134"/>
        <v>0</v>
      </c>
      <c r="AW91" s="196">
        <f t="shared" si="134"/>
        <v>0</v>
      </c>
      <c r="AX91" s="188">
        <f t="shared" si="134"/>
        <v>0</v>
      </c>
      <c r="AY91" s="97">
        <f t="shared" si="134"/>
        <v>0</v>
      </c>
      <c r="AZ91" s="97">
        <f t="shared" si="134"/>
        <v>0</v>
      </c>
      <c r="BA91" s="97">
        <f t="shared" si="134"/>
        <v>0</v>
      </c>
      <c r="BB91" s="97">
        <f t="shared" si="134"/>
        <v>0</v>
      </c>
      <c r="BC91" s="97">
        <f t="shared" si="134"/>
        <v>0</v>
      </c>
      <c r="BD91" s="97">
        <f t="shared" si="134"/>
        <v>0</v>
      </c>
      <c r="BE91" s="97">
        <f t="shared" si="134"/>
        <v>0</v>
      </c>
      <c r="BF91" s="97">
        <f t="shared" si="134"/>
        <v>0</v>
      </c>
      <c r="BG91" s="97">
        <f t="shared" si="134"/>
        <v>0</v>
      </c>
      <c r="BH91" s="189">
        <f t="shared" si="134"/>
        <v>0</v>
      </c>
      <c r="BI91" s="188">
        <f t="shared" si="134"/>
        <v>0</v>
      </c>
      <c r="BJ91" s="97">
        <f t="shared" si="134"/>
        <v>0</v>
      </c>
      <c r="BK91" s="97">
        <f t="shared" si="134"/>
        <v>0</v>
      </c>
      <c r="BL91" s="97">
        <f t="shared" si="134"/>
        <v>0</v>
      </c>
      <c r="BM91" s="97">
        <f t="shared" si="134"/>
        <v>0</v>
      </c>
      <c r="BN91" s="97">
        <f t="shared" si="134"/>
        <v>0</v>
      </c>
      <c r="BO91" s="97">
        <f t="shared" si="134"/>
        <v>0</v>
      </c>
      <c r="BP91" s="97">
        <f t="shared" si="134"/>
        <v>0</v>
      </c>
      <c r="BQ91" s="97">
        <f t="shared" si="134"/>
        <v>0</v>
      </c>
      <c r="BR91" s="97">
        <f t="shared" si="134"/>
        <v>0</v>
      </c>
      <c r="BS91" s="189">
        <f t="shared" ref="BS91" si="135">IF(AND(BS$77=0,BS85=0),0,IF(BS85=0,"NA",BS$77/BS85))</f>
        <v>0</v>
      </c>
    </row>
    <row r="92" spans="4:71" x14ac:dyDescent="0.2">
      <c r="D92" s="260"/>
      <c r="E92" s="230">
        <v>40</v>
      </c>
      <c r="F92" s="188">
        <f t="shared" si="131"/>
        <v>0</v>
      </c>
      <c r="G92" s="97">
        <f t="shared" ref="G92:BR92" si="136">IF(AND(G$77=0,G86=0),0,IF(G86=0,"NA",G$77/G86))</f>
        <v>0</v>
      </c>
      <c r="H92" s="97">
        <f t="shared" si="136"/>
        <v>0</v>
      </c>
      <c r="I92" s="97">
        <f t="shared" si="136"/>
        <v>0</v>
      </c>
      <c r="J92" s="97">
        <f t="shared" si="136"/>
        <v>0</v>
      </c>
      <c r="K92" s="97">
        <f t="shared" si="136"/>
        <v>0</v>
      </c>
      <c r="L92" s="97">
        <f t="shared" si="136"/>
        <v>0</v>
      </c>
      <c r="M92" s="97">
        <f t="shared" si="136"/>
        <v>0</v>
      </c>
      <c r="N92" s="97">
        <f t="shared" si="136"/>
        <v>0</v>
      </c>
      <c r="O92" s="97">
        <f t="shared" si="136"/>
        <v>0</v>
      </c>
      <c r="P92" s="189">
        <f t="shared" si="136"/>
        <v>0</v>
      </c>
      <c r="Q92" s="195">
        <f t="shared" si="136"/>
        <v>0</v>
      </c>
      <c r="R92" s="97">
        <f t="shared" si="136"/>
        <v>0</v>
      </c>
      <c r="S92" s="97">
        <f t="shared" si="136"/>
        <v>0</v>
      </c>
      <c r="T92" s="97">
        <f t="shared" si="136"/>
        <v>0</v>
      </c>
      <c r="U92" s="97">
        <f t="shared" si="136"/>
        <v>0</v>
      </c>
      <c r="V92" s="97">
        <f t="shared" si="136"/>
        <v>0</v>
      </c>
      <c r="W92" s="97">
        <f t="shared" si="136"/>
        <v>0</v>
      </c>
      <c r="X92" s="97">
        <f t="shared" si="136"/>
        <v>0</v>
      </c>
      <c r="Y92" s="97">
        <f t="shared" si="136"/>
        <v>0</v>
      </c>
      <c r="Z92" s="97">
        <f t="shared" si="136"/>
        <v>0</v>
      </c>
      <c r="AA92" s="196">
        <f t="shared" si="136"/>
        <v>0</v>
      </c>
      <c r="AB92" s="188">
        <f t="shared" si="136"/>
        <v>0</v>
      </c>
      <c r="AC92" s="97">
        <f t="shared" si="136"/>
        <v>0</v>
      </c>
      <c r="AD92" s="97">
        <f t="shared" si="136"/>
        <v>0</v>
      </c>
      <c r="AE92" s="97">
        <f t="shared" si="136"/>
        <v>0</v>
      </c>
      <c r="AF92" s="97">
        <f t="shared" si="136"/>
        <v>0</v>
      </c>
      <c r="AG92" s="97">
        <f t="shared" si="136"/>
        <v>0</v>
      </c>
      <c r="AH92" s="97">
        <f t="shared" si="136"/>
        <v>0</v>
      </c>
      <c r="AI92" s="97">
        <f t="shared" si="136"/>
        <v>0</v>
      </c>
      <c r="AJ92" s="97">
        <f t="shared" si="136"/>
        <v>0</v>
      </c>
      <c r="AK92" s="97">
        <f t="shared" si="136"/>
        <v>0</v>
      </c>
      <c r="AL92" s="189">
        <f t="shared" si="136"/>
        <v>0</v>
      </c>
      <c r="AM92" s="195">
        <f t="shared" si="136"/>
        <v>0</v>
      </c>
      <c r="AN92" s="97">
        <f t="shared" si="136"/>
        <v>0</v>
      </c>
      <c r="AO92" s="97">
        <f t="shared" si="136"/>
        <v>0</v>
      </c>
      <c r="AP92" s="97">
        <f t="shared" si="136"/>
        <v>0</v>
      </c>
      <c r="AQ92" s="97">
        <f t="shared" si="136"/>
        <v>0</v>
      </c>
      <c r="AR92" s="97">
        <f t="shared" si="136"/>
        <v>0</v>
      </c>
      <c r="AS92" s="97">
        <f t="shared" si="136"/>
        <v>0</v>
      </c>
      <c r="AT92" s="97">
        <f t="shared" si="136"/>
        <v>0</v>
      </c>
      <c r="AU92" s="97">
        <f t="shared" si="136"/>
        <v>0</v>
      </c>
      <c r="AV92" s="97">
        <f t="shared" si="136"/>
        <v>0</v>
      </c>
      <c r="AW92" s="196">
        <f t="shared" si="136"/>
        <v>0</v>
      </c>
      <c r="AX92" s="188">
        <f t="shared" si="136"/>
        <v>0</v>
      </c>
      <c r="AY92" s="97">
        <f t="shared" si="136"/>
        <v>0</v>
      </c>
      <c r="AZ92" s="97">
        <f t="shared" si="136"/>
        <v>0</v>
      </c>
      <c r="BA92" s="97">
        <f t="shared" si="136"/>
        <v>0</v>
      </c>
      <c r="BB92" s="97">
        <f t="shared" si="136"/>
        <v>0</v>
      </c>
      <c r="BC92" s="97">
        <f t="shared" si="136"/>
        <v>0</v>
      </c>
      <c r="BD92" s="97">
        <f t="shared" si="136"/>
        <v>0</v>
      </c>
      <c r="BE92" s="97">
        <f t="shared" si="136"/>
        <v>0</v>
      </c>
      <c r="BF92" s="97">
        <f t="shared" si="136"/>
        <v>0</v>
      </c>
      <c r="BG92" s="97">
        <f t="shared" si="136"/>
        <v>0</v>
      </c>
      <c r="BH92" s="189">
        <f t="shared" si="136"/>
        <v>0</v>
      </c>
      <c r="BI92" s="188">
        <f t="shared" si="136"/>
        <v>0</v>
      </c>
      <c r="BJ92" s="97">
        <f t="shared" si="136"/>
        <v>0</v>
      </c>
      <c r="BK92" s="97">
        <f t="shared" si="136"/>
        <v>0</v>
      </c>
      <c r="BL92" s="97">
        <f t="shared" si="136"/>
        <v>0</v>
      </c>
      <c r="BM92" s="97">
        <f t="shared" si="136"/>
        <v>0</v>
      </c>
      <c r="BN92" s="97">
        <f t="shared" si="136"/>
        <v>0</v>
      </c>
      <c r="BO92" s="97">
        <f t="shared" si="136"/>
        <v>0</v>
      </c>
      <c r="BP92" s="97">
        <f t="shared" si="136"/>
        <v>0</v>
      </c>
      <c r="BQ92" s="97">
        <f t="shared" si="136"/>
        <v>0</v>
      </c>
      <c r="BR92" s="97">
        <f t="shared" si="136"/>
        <v>0</v>
      </c>
      <c r="BS92" s="189">
        <f t="shared" ref="BS92" si="137">IF(AND(BS$77=0,BS86=0),0,IF(BS86=0,"NA",BS$77/BS86))</f>
        <v>0</v>
      </c>
    </row>
    <row r="93" spans="4:71" x14ac:dyDescent="0.2">
      <c r="D93" s="260"/>
      <c r="E93" s="230">
        <v>45</v>
      </c>
      <c r="F93" s="188">
        <f t="shared" si="131"/>
        <v>0</v>
      </c>
      <c r="G93" s="97">
        <f t="shared" ref="G93:BR93" si="138">IF(AND(G$77=0,G87=0),0,IF(G87=0,"NA",G$77/G87))</f>
        <v>0</v>
      </c>
      <c r="H93" s="97">
        <f t="shared" si="138"/>
        <v>0</v>
      </c>
      <c r="I93" s="97">
        <f t="shared" si="138"/>
        <v>0</v>
      </c>
      <c r="J93" s="97">
        <f t="shared" si="138"/>
        <v>0</v>
      </c>
      <c r="K93" s="97">
        <f t="shared" si="138"/>
        <v>0</v>
      </c>
      <c r="L93" s="97">
        <f t="shared" si="138"/>
        <v>0</v>
      </c>
      <c r="M93" s="97">
        <f t="shared" si="138"/>
        <v>0</v>
      </c>
      <c r="N93" s="97">
        <f t="shared" si="138"/>
        <v>0</v>
      </c>
      <c r="O93" s="97">
        <f t="shared" si="138"/>
        <v>0</v>
      </c>
      <c r="P93" s="189">
        <f t="shared" si="138"/>
        <v>0</v>
      </c>
      <c r="Q93" s="195">
        <f t="shared" si="138"/>
        <v>0</v>
      </c>
      <c r="R93" s="97">
        <f t="shared" si="138"/>
        <v>0</v>
      </c>
      <c r="S93" s="97">
        <f t="shared" si="138"/>
        <v>0</v>
      </c>
      <c r="T93" s="97">
        <f t="shared" si="138"/>
        <v>0</v>
      </c>
      <c r="U93" s="97">
        <f t="shared" si="138"/>
        <v>0</v>
      </c>
      <c r="V93" s="97">
        <f t="shared" si="138"/>
        <v>0</v>
      </c>
      <c r="W93" s="97">
        <f t="shared" si="138"/>
        <v>0</v>
      </c>
      <c r="X93" s="97">
        <f t="shared" si="138"/>
        <v>0</v>
      </c>
      <c r="Y93" s="97">
        <f t="shared" si="138"/>
        <v>0</v>
      </c>
      <c r="Z93" s="97">
        <f t="shared" si="138"/>
        <v>0</v>
      </c>
      <c r="AA93" s="196">
        <f t="shared" si="138"/>
        <v>0</v>
      </c>
      <c r="AB93" s="188">
        <f t="shared" si="138"/>
        <v>0</v>
      </c>
      <c r="AC93" s="97">
        <f t="shared" si="138"/>
        <v>0</v>
      </c>
      <c r="AD93" s="97">
        <f t="shared" si="138"/>
        <v>0</v>
      </c>
      <c r="AE93" s="97">
        <f t="shared" si="138"/>
        <v>0</v>
      </c>
      <c r="AF93" s="97">
        <f t="shared" si="138"/>
        <v>0</v>
      </c>
      <c r="AG93" s="97">
        <f t="shared" si="138"/>
        <v>0</v>
      </c>
      <c r="AH93" s="97">
        <f t="shared" si="138"/>
        <v>0</v>
      </c>
      <c r="AI93" s="97">
        <f t="shared" si="138"/>
        <v>0</v>
      </c>
      <c r="AJ93" s="97">
        <f t="shared" si="138"/>
        <v>0</v>
      </c>
      <c r="AK93" s="97">
        <f t="shared" si="138"/>
        <v>0</v>
      </c>
      <c r="AL93" s="189">
        <f t="shared" si="138"/>
        <v>0</v>
      </c>
      <c r="AM93" s="195">
        <f t="shared" si="138"/>
        <v>0</v>
      </c>
      <c r="AN93" s="97">
        <f t="shared" si="138"/>
        <v>0</v>
      </c>
      <c r="AO93" s="97">
        <f t="shared" si="138"/>
        <v>0</v>
      </c>
      <c r="AP93" s="97">
        <f t="shared" si="138"/>
        <v>0</v>
      </c>
      <c r="AQ93" s="97">
        <f t="shared" si="138"/>
        <v>0</v>
      </c>
      <c r="AR93" s="97">
        <f t="shared" si="138"/>
        <v>0</v>
      </c>
      <c r="AS93" s="97">
        <f t="shared" si="138"/>
        <v>0</v>
      </c>
      <c r="AT93" s="97">
        <f t="shared" si="138"/>
        <v>0</v>
      </c>
      <c r="AU93" s="97">
        <f t="shared" si="138"/>
        <v>0</v>
      </c>
      <c r="AV93" s="97">
        <f t="shared" si="138"/>
        <v>0</v>
      </c>
      <c r="AW93" s="196">
        <f t="shared" si="138"/>
        <v>0</v>
      </c>
      <c r="AX93" s="188">
        <f t="shared" si="138"/>
        <v>0</v>
      </c>
      <c r="AY93" s="97">
        <f t="shared" si="138"/>
        <v>0</v>
      </c>
      <c r="AZ93" s="97">
        <f t="shared" si="138"/>
        <v>0</v>
      </c>
      <c r="BA93" s="97">
        <f t="shared" si="138"/>
        <v>0</v>
      </c>
      <c r="BB93" s="97">
        <f t="shared" si="138"/>
        <v>0</v>
      </c>
      <c r="BC93" s="97">
        <f t="shared" si="138"/>
        <v>0</v>
      </c>
      <c r="BD93" s="97">
        <f t="shared" si="138"/>
        <v>0</v>
      </c>
      <c r="BE93" s="97">
        <f t="shared" si="138"/>
        <v>0</v>
      </c>
      <c r="BF93" s="97">
        <f t="shared" si="138"/>
        <v>0</v>
      </c>
      <c r="BG93" s="97">
        <f t="shared" si="138"/>
        <v>0</v>
      </c>
      <c r="BH93" s="189">
        <f t="shared" si="138"/>
        <v>0</v>
      </c>
      <c r="BI93" s="188">
        <f t="shared" si="138"/>
        <v>0</v>
      </c>
      <c r="BJ93" s="97">
        <f t="shared" si="138"/>
        <v>0</v>
      </c>
      <c r="BK93" s="97">
        <f t="shared" si="138"/>
        <v>0</v>
      </c>
      <c r="BL93" s="97">
        <f t="shared" si="138"/>
        <v>0</v>
      </c>
      <c r="BM93" s="97">
        <f t="shared" si="138"/>
        <v>0</v>
      </c>
      <c r="BN93" s="97">
        <f t="shared" si="138"/>
        <v>0</v>
      </c>
      <c r="BO93" s="97">
        <f t="shared" si="138"/>
        <v>0</v>
      </c>
      <c r="BP93" s="97">
        <f t="shared" si="138"/>
        <v>0</v>
      </c>
      <c r="BQ93" s="97">
        <f t="shared" si="138"/>
        <v>0</v>
      </c>
      <c r="BR93" s="97">
        <f t="shared" si="138"/>
        <v>0</v>
      </c>
      <c r="BS93" s="189">
        <f t="shared" ref="BS93" si="139">IF(AND(BS$77=0,BS87=0),0,IF(BS87=0,"NA",BS$77/BS87))</f>
        <v>0</v>
      </c>
    </row>
    <row r="94" spans="4:71" ht="13.5" thickBot="1" x14ac:dyDescent="0.25">
      <c r="D94" s="261"/>
      <c r="E94" s="231">
        <v>50</v>
      </c>
      <c r="F94" s="190">
        <f t="shared" si="131"/>
        <v>0</v>
      </c>
      <c r="G94" s="191">
        <f t="shared" ref="G94:BR94" si="140">IF(AND(G$77=0,G88=0),0,IF(G88=0,"NA",G$77/G88))</f>
        <v>0</v>
      </c>
      <c r="H94" s="191">
        <f t="shared" si="140"/>
        <v>0</v>
      </c>
      <c r="I94" s="191">
        <f t="shared" si="140"/>
        <v>0</v>
      </c>
      <c r="J94" s="191">
        <f t="shared" si="140"/>
        <v>0</v>
      </c>
      <c r="K94" s="191">
        <f t="shared" si="140"/>
        <v>0</v>
      </c>
      <c r="L94" s="191">
        <f t="shared" si="140"/>
        <v>0</v>
      </c>
      <c r="M94" s="191">
        <f t="shared" si="140"/>
        <v>0</v>
      </c>
      <c r="N94" s="191">
        <f t="shared" si="140"/>
        <v>0</v>
      </c>
      <c r="O94" s="191">
        <f t="shared" si="140"/>
        <v>0</v>
      </c>
      <c r="P94" s="192">
        <f t="shared" si="140"/>
        <v>0</v>
      </c>
      <c r="Q94" s="197">
        <f t="shared" si="140"/>
        <v>0</v>
      </c>
      <c r="R94" s="191">
        <f t="shared" si="140"/>
        <v>0</v>
      </c>
      <c r="S94" s="191">
        <f t="shared" si="140"/>
        <v>0</v>
      </c>
      <c r="T94" s="191">
        <f t="shared" si="140"/>
        <v>0</v>
      </c>
      <c r="U94" s="191">
        <f t="shared" si="140"/>
        <v>0</v>
      </c>
      <c r="V94" s="191">
        <f t="shared" si="140"/>
        <v>0</v>
      </c>
      <c r="W94" s="191">
        <f t="shared" si="140"/>
        <v>0</v>
      </c>
      <c r="X94" s="191">
        <f t="shared" si="140"/>
        <v>0</v>
      </c>
      <c r="Y94" s="191">
        <f t="shared" si="140"/>
        <v>0</v>
      </c>
      <c r="Z94" s="191">
        <f t="shared" si="140"/>
        <v>0</v>
      </c>
      <c r="AA94" s="198">
        <f t="shared" si="140"/>
        <v>0</v>
      </c>
      <c r="AB94" s="190">
        <f t="shared" si="140"/>
        <v>0</v>
      </c>
      <c r="AC94" s="191">
        <f t="shared" si="140"/>
        <v>0</v>
      </c>
      <c r="AD94" s="191">
        <f t="shared" si="140"/>
        <v>0</v>
      </c>
      <c r="AE94" s="191">
        <f t="shared" si="140"/>
        <v>0</v>
      </c>
      <c r="AF94" s="191">
        <f t="shared" si="140"/>
        <v>0</v>
      </c>
      <c r="AG94" s="191">
        <f t="shared" si="140"/>
        <v>0</v>
      </c>
      <c r="AH94" s="191">
        <f t="shared" si="140"/>
        <v>0</v>
      </c>
      <c r="AI94" s="191">
        <f t="shared" si="140"/>
        <v>0</v>
      </c>
      <c r="AJ94" s="191">
        <f t="shared" si="140"/>
        <v>0</v>
      </c>
      <c r="AK94" s="191">
        <f t="shared" si="140"/>
        <v>0</v>
      </c>
      <c r="AL94" s="192">
        <f t="shared" si="140"/>
        <v>0</v>
      </c>
      <c r="AM94" s="197">
        <f t="shared" si="140"/>
        <v>0</v>
      </c>
      <c r="AN94" s="191">
        <f t="shared" si="140"/>
        <v>0</v>
      </c>
      <c r="AO94" s="191">
        <f t="shared" si="140"/>
        <v>0</v>
      </c>
      <c r="AP94" s="191">
        <f t="shared" si="140"/>
        <v>0</v>
      </c>
      <c r="AQ94" s="191">
        <f t="shared" si="140"/>
        <v>0</v>
      </c>
      <c r="AR94" s="191">
        <f t="shared" si="140"/>
        <v>0</v>
      </c>
      <c r="AS94" s="191">
        <f t="shared" si="140"/>
        <v>0</v>
      </c>
      <c r="AT94" s="191">
        <f t="shared" si="140"/>
        <v>0</v>
      </c>
      <c r="AU94" s="191">
        <f t="shared" si="140"/>
        <v>0</v>
      </c>
      <c r="AV94" s="191">
        <f t="shared" si="140"/>
        <v>0</v>
      </c>
      <c r="AW94" s="198">
        <f t="shared" si="140"/>
        <v>0</v>
      </c>
      <c r="AX94" s="190">
        <f t="shared" si="140"/>
        <v>0</v>
      </c>
      <c r="AY94" s="191">
        <f t="shared" si="140"/>
        <v>0</v>
      </c>
      <c r="AZ94" s="191">
        <f t="shared" si="140"/>
        <v>0</v>
      </c>
      <c r="BA94" s="191">
        <f t="shared" si="140"/>
        <v>0</v>
      </c>
      <c r="BB94" s="191">
        <f t="shared" si="140"/>
        <v>0</v>
      </c>
      <c r="BC94" s="191">
        <f t="shared" si="140"/>
        <v>0</v>
      </c>
      <c r="BD94" s="191">
        <f t="shared" si="140"/>
        <v>0</v>
      </c>
      <c r="BE94" s="191">
        <f t="shared" si="140"/>
        <v>0</v>
      </c>
      <c r="BF94" s="191">
        <f t="shared" si="140"/>
        <v>0</v>
      </c>
      <c r="BG94" s="191">
        <f t="shared" si="140"/>
        <v>0</v>
      </c>
      <c r="BH94" s="192">
        <f t="shared" si="140"/>
        <v>0</v>
      </c>
      <c r="BI94" s="190">
        <f t="shared" si="140"/>
        <v>0</v>
      </c>
      <c r="BJ94" s="191">
        <f t="shared" si="140"/>
        <v>0</v>
      </c>
      <c r="BK94" s="191">
        <f t="shared" si="140"/>
        <v>0</v>
      </c>
      <c r="BL94" s="191">
        <f t="shared" si="140"/>
        <v>0</v>
      </c>
      <c r="BM94" s="191">
        <f t="shared" si="140"/>
        <v>0</v>
      </c>
      <c r="BN94" s="191">
        <f t="shared" si="140"/>
        <v>0</v>
      </c>
      <c r="BO94" s="191">
        <f t="shared" si="140"/>
        <v>0</v>
      </c>
      <c r="BP94" s="191">
        <f t="shared" si="140"/>
        <v>0</v>
      </c>
      <c r="BQ94" s="191">
        <f t="shared" si="140"/>
        <v>0</v>
      </c>
      <c r="BR94" s="191">
        <f t="shared" si="140"/>
        <v>0</v>
      </c>
      <c r="BS94" s="192">
        <f t="shared" ref="BS94" si="141">IF(AND(BS$77=0,BS88=0),0,IF(BS88=0,"NA",BS$77/BS88))</f>
        <v>0</v>
      </c>
    </row>
    <row r="95" spans="4:71" x14ac:dyDescent="0.2">
      <c r="G95" s="2"/>
    </row>
    <row r="96" spans="4:71" ht="13.5" thickBot="1" x14ac:dyDescent="0.25">
      <c r="E96" t="s">
        <v>352</v>
      </c>
      <c r="P96" s="27" t="s">
        <v>353</v>
      </c>
      <c r="Q96" s="27"/>
      <c r="R96" s="27"/>
      <c r="S96" s="27"/>
      <c r="AA96" t="s">
        <v>354</v>
      </c>
      <c r="AL96" s="27" t="s">
        <v>355</v>
      </c>
      <c r="AM96" s="27"/>
      <c r="AN96" s="27"/>
      <c r="AO96" s="27"/>
      <c r="AW96" s="27" t="s">
        <v>356</v>
      </c>
      <c r="BH96" s="27" t="s">
        <v>357</v>
      </c>
    </row>
    <row r="97" spans="5:63" x14ac:dyDescent="0.2">
      <c r="F97" s="166" t="str">
        <f t="shared" ref="F97:F102" si="142">IF(AND(F83&gt;=F$77,G83&gt;=G$77,H83&gt;=H$77,I83&gt;=I$77,J83&gt;=J$77,K83&gt;=K$77,L83&gt;=L$77,M83&gt;=M$77,N83&gt;=N$77,O83&gt;=O$77,P83&gt;=P$77),"PASS","NG")</f>
        <v>PASS</v>
      </c>
      <c r="G97" s="167">
        <v>25</v>
      </c>
      <c r="H97" s="187">
        <f>MAX(F89:P89)</f>
        <v>0</v>
      </c>
      <c r="Q97" s="166" t="str">
        <f t="shared" ref="Q97:Q102" si="143">IF(AND(Q83&gt;=Q$77,R83&gt;=R$77,S83&gt;=S$77,T83&gt;=T$77,U83&gt;=U$77,V83&gt;=V$77,W83&gt;=W$77,X83&gt;=X$77,Y83&gt;=Y$77,Z83&gt;=Z$77,AA83&gt;=AA$77),"PASS","NG")</f>
        <v>PASS</v>
      </c>
      <c r="R97" s="167">
        <v>25</v>
      </c>
      <c r="S97" s="187">
        <f>MAX(Q89:AA89)</f>
        <v>0</v>
      </c>
      <c r="AB97" s="166" t="str">
        <f t="shared" ref="AB97:AB102" si="144">IF(AND(AB83&gt;=AB$77,AC83&gt;=AC$77,AD83&gt;=AD$77,AE83&gt;=AE$77,AF83&gt;=AF$77,AG83&gt;=AG$77,AH83&gt;=AH$77,AI83&gt;=AI$77,AJ83&gt;=AJ$77,AK83&gt;=AK$77,AL83&gt;=AL$77),"PASS","NG")</f>
        <v>PASS</v>
      </c>
      <c r="AC97" s="167">
        <v>25</v>
      </c>
      <c r="AD97" s="187">
        <f>MAX(AB89:AL89)</f>
        <v>0</v>
      </c>
      <c r="AM97" s="166" t="str">
        <f t="shared" ref="AM97:AM102" si="145">IF(AND(AM83&gt;=AM$77,AN83&gt;=AN$77,AO83&gt;=AO$77,AP83&gt;=AP$77,AQ83&gt;=AQ$77,AR83&gt;=AR$77,AS83&gt;=AS$77,AT83&gt;=AT$77,AU83&gt;=AU$77,AV83&gt;=AV$77,AW83&gt;=AW$77),"PASS","NG")</f>
        <v>PASS</v>
      </c>
      <c r="AN97" s="167">
        <v>25</v>
      </c>
      <c r="AO97" s="187">
        <f>MAX(AM89:AW89)</f>
        <v>0</v>
      </c>
      <c r="AX97" s="166" t="str">
        <f t="shared" ref="AX97:AX102" si="146">IF(AND(AX83&gt;=AX$77,AY83&gt;=AY$77,AZ83&gt;=AZ$77,BA83&gt;=BA$77,BB83&gt;=BB$77,BC83&gt;=BC$77,BD83&gt;=BD$77,BE83&gt;=BE$77,BF83&gt;=BF$77,BG83&gt;=BG$77,BH83&gt;=BH$77),"PASS","NG")</f>
        <v>PASS</v>
      </c>
      <c r="AY97" s="167">
        <v>25</v>
      </c>
      <c r="AZ97" s="187">
        <f>MAX(AX89:BH89)</f>
        <v>0</v>
      </c>
      <c r="BI97" s="166" t="str">
        <f t="shared" ref="BI97:BI102" si="147">IF(AND(BI83&gt;=BI$77,BJ83&gt;=BJ$77,BK83&gt;=BK$77,BL83&gt;=BL$77,BM83&gt;=BM$77,BN83&gt;=BN$77,BO83&gt;=BO$77,BP83&gt;=BP$77,BQ83&gt;=BQ$77,BR83&gt;=BR$77,BS83&gt;=BS$77),"PASS","NG")</f>
        <v>PASS</v>
      </c>
      <c r="BJ97" s="167">
        <v>25</v>
      </c>
      <c r="BK97" s="187">
        <f>MAX(BI89:BS89)</f>
        <v>0</v>
      </c>
    </row>
    <row r="98" spans="5:63" x14ac:dyDescent="0.2">
      <c r="F98" s="142" t="str">
        <f t="shared" si="142"/>
        <v>PASS</v>
      </c>
      <c r="G98" s="31">
        <v>30</v>
      </c>
      <c r="H98" s="189">
        <f t="shared" ref="H98:H102" si="148">MAX(F90:P90)</f>
        <v>0</v>
      </c>
      <c r="Q98" s="142" t="str">
        <f t="shared" si="143"/>
        <v>PASS</v>
      </c>
      <c r="R98" s="31">
        <v>30</v>
      </c>
      <c r="S98" s="189">
        <f t="shared" ref="S98:S102" si="149">MAX(Q90:AA90)</f>
        <v>0</v>
      </c>
      <c r="AB98" s="142" t="str">
        <f t="shared" si="144"/>
        <v>PASS</v>
      </c>
      <c r="AC98" s="31">
        <v>30</v>
      </c>
      <c r="AD98" s="189">
        <f t="shared" ref="AD98:AD102" si="150">MAX(AB90:AL90)</f>
        <v>0</v>
      </c>
      <c r="AM98" s="142" t="str">
        <f t="shared" si="145"/>
        <v>PASS</v>
      </c>
      <c r="AN98" s="31">
        <v>30</v>
      </c>
      <c r="AO98" s="189">
        <f t="shared" ref="AO98:AO102" si="151">MAX(AM90:AW90)</f>
        <v>0</v>
      </c>
      <c r="AX98" s="142" t="str">
        <f t="shared" si="146"/>
        <v>PASS</v>
      </c>
      <c r="AY98" s="31">
        <v>30</v>
      </c>
      <c r="AZ98" s="189">
        <f t="shared" ref="AZ98:AZ102" si="152">MAX(AX90:BH90)</f>
        <v>0</v>
      </c>
      <c r="BI98" s="142" t="str">
        <f t="shared" si="147"/>
        <v>PASS</v>
      </c>
      <c r="BJ98" s="31">
        <v>30</v>
      </c>
      <c r="BK98" s="189">
        <f t="shared" ref="BK98:BK102" si="153">MAX(BI90:BS90)</f>
        <v>0</v>
      </c>
    </row>
    <row r="99" spans="5:63" x14ac:dyDescent="0.2">
      <c r="F99" s="142" t="str">
        <f t="shared" si="142"/>
        <v>PASS</v>
      </c>
      <c r="G99" s="31">
        <v>35</v>
      </c>
      <c r="H99" s="189">
        <f t="shared" si="148"/>
        <v>0</v>
      </c>
      <c r="Q99" s="142" t="str">
        <f t="shared" si="143"/>
        <v>PASS</v>
      </c>
      <c r="R99" s="31">
        <v>35</v>
      </c>
      <c r="S99" s="189">
        <f t="shared" si="149"/>
        <v>0</v>
      </c>
      <c r="AB99" s="142" t="str">
        <f t="shared" si="144"/>
        <v>PASS</v>
      </c>
      <c r="AC99" s="31">
        <v>35</v>
      </c>
      <c r="AD99" s="189">
        <f t="shared" si="150"/>
        <v>0</v>
      </c>
      <c r="AM99" s="142" t="str">
        <f t="shared" si="145"/>
        <v>PASS</v>
      </c>
      <c r="AN99" s="31">
        <v>35</v>
      </c>
      <c r="AO99" s="189">
        <f t="shared" si="151"/>
        <v>0</v>
      </c>
      <c r="AX99" s="142" t="str">
        <f t="shared" si="146"/>
        <v>PASS</v>
      </c>
      <c r="AY99" s="31">
        <v>35</v>
      </c>
      <c r="AZ99" s="189">
        <f t="shared" si="152"/>
        <v>0</v>
      </c>
      <c r="BI99" s="142" t="str">
        <f t="shared" si="147"/>
        <v>PASS</v>
      </c>
      <c r="BJ99" s="31">
        <v>35</v>
      </c>
      <c r="BK99" s="189">
        <f t="shared" si="153"/>
        <v>0</v>
      </c>
    </row>
    <row r="100" spans="5:63" x14ac:dyDescent="0.2">
      <c r="F100" s="142" t="str">
        <f t="shared" si="142"/>
        <v>PASS</v>
      </c>
      <c r="G100" s="31">
        <v>40</v>
      </c>
      <c r="H100" s="189">
        <f t="shared" si="148"/>
        <v>0</v>
      </c>
      <c r="Q100" s="142" t="str">
        <f t="shared" si="143"/>
        <v>PASS</v>
      </c>
      <c r="R100" s="31">
        <v>40</v>
      </c>
      <c r="S100" s="189">
        <f t="shared" si="149"/>
        <v>0</v>
      </c>
      <c r="AB100" s="142" t="str">
        <f t="shared" si="144"/>
        <v>PASS</v>
      </c>
      <c r="AC100" s="31">
        <v>40</v>
      </c>
      <c r="AD100" s="189">
        <f t="shared" si="150"/>
        <v>0</v>
      </c>
      <c r="AM100" s="142" t="str">
        <f t="shared" si="145"/>
        <v>PASS</v>
      </c>
      <c r="AN100" s="31">
        <v>40</v>
      </c>
      <c r="AO100" s="189">
        <f t="shared" si="151"/>
        <v>0</v>
      </c>
      <c r="AX100" s="142" t="str">
        <f t="shared" si="146"/>
        <v>PASS</v>
      </c>
      <c r="AY100" s="31">
        <v>40</v>
      </c>
      <c r="AZ100" s="189">
        <f t="shared" si="152"/>
        <v>0</v>
      </c>
      <c r="BI100" s="142" t="str">
        <f t="shared" si="147"/>
        <v>PASS</v>
      </c>
      <c r="BJ100" s="31">
        <v>40</v>
      </c>
      <c r="BK100" s="189">
        <f t="shared" si="153"/>
        <v>0</v>
      </c>
    </row>
    <row r="101" spans="5:63" x14ac:dyDescent="0.2">
      <c r="F101" s="142" t="str">
        <f t="shared" si="142"/>
        <v>PASS</v>
      </c>
      <c r="G101" s="31">
        <v>45</v>
      </c>
      <c r="H101" s="189">
        <f t="shared" si="148"/>
        <v>0</v>
      </c>
      <c r="Q101" s="142" t="str">
        <f t="shared" si="143"/>
        <v>PASS</v>
      </c>
      <c r="R101" s="31">
        <v>45</v>
      </c>
      <c r="S101" s="189">
        <f t="shared" si="149"/>
        <v>0</v>
      </c>
      <c r="AB101" s="142" t="str">
        <f t="shared" si="144"/>
        <v>PASS</v>
      </c>
      <c r="AC101" s="31">
        <v>45</v>
      </c>
      <c r="AD101" s="189">
        <f t="shared" si="150"/>
        <v>0</v>
      </c>
      <c r="AM101" s="142" t="str">
        <f t="shared" si="145"/>
        <v>PASS</v>
      </c>
      <c r="AN101" s="31">
        <v>45</v>
      </c>
      <c r="AO101" s="189">
        <f t="shared" si="151"/>
        <v>0</v>
      </c>
      <c r="AX101" s="142" t="str">
        <f t="shared" si="146"/>
        <v>PASS</v>
      </c>
      <c r="AY101" s="31">
        <v>45</v>
      </c>
      <c r="AZ101" s="189">
        <f t="shared" si="152"/>
        <v>0</v>
      </c>
      <c r="BI101" s="142" t="str">
        <f t="shared" si="147"/>
        <v>PASS</v>
      </c>
      <c r="BJ101" s="31">
        <v>45</v>
      </c>
      <c r="BK101" s="189">
        <f t="shared" si="153"/>
        <v>0</v>
      </c>
    </row>
    <row r="102" spans="5:63" x14ac:dyDescent="0.2">
      <c r="F102" s="142" t="str">
        <f t="shared" si="142"/>
        <v>PASS</v>
      </c>
      <c r="G102" s="31">
        <v>50</v>
      </c>
      <c r="H102" s="189">
        <f t="shared" si="148"/>
        <v>0</v>
      </c>
      <c r="Q102" s="142" t="str">
        <f t="shared" si="143"/>
        <v>PASS</v>
      </c>
      <c r="R102" s="31">
        <v>50</v>
      </c>
      <c r="S102" s="189">
        <f t="shared" si="149"/>
        <v>0</v>
      </c>
      <c r="AB102" s="142" t="str">
        <f t="shared" si="144"/>
        <v>PASS</v>
      </c>
      <c r="AC102" s="31">
        <v>50</v>
      </c>
      <c r="AD102" s="189">
        <f t="shared" si="150"/>
        <v>0</v>
      </c>
      <c r="AM102" s="142" t="str">
        <f t="shared" si="145"/>
        <v>PASS</v>
      </c>
      <c r="AN102" s="31">
        <v>50</v>
      </c>
      <c r="AO102" s="189">
        <f t="shared" si="151"/>
        <v>0</v>
      </c>
      <c r="AX102" s="142" t="str">
        <f t="shared" si="146"/>
        <v>PASS</v>
      </c>
      <c r="AY102" s="31">
        <v>50</v>
      </c>
      <c r="AZ102" s="189">
        <f t="shared" si="152"/>
        <v>0</v>
      </c>
      <c r="BI102" s="142" t="str">
        <f t="shared" si="147"/>
        <v>PASS</v>
      </c>
      <c r="BJ102" s="31">
        <v>50</v>
      </c>
      <c r="BK102" s="189">
        <f t="shared" si="153"/>
        <v>0</v>
      </c>
    </row>
    <row r="103" spans="5:63" ht="13.5" thickBot="1" x14ac:dyDescent="0.25">
      <c r="F103" s="144" t="s">
        <v>342</v>
      </c>
      <c r="G103" s="145" t="s">
        <v>361</v>
      </c>
      <c r="H103" s="192"/>
      <c r="Q103" s="144" t="s">
        <v>342</v>
      </c>
      <c r="R103" s="145" t="s">
        <v>361</v>
      </c>
      <c r="S103" s="192"/>
      <c r="AB103" s="144" t="s">
        <v>342</v>
      </c>
      <c r="AC103" s="145" t="s">
        <v>361</v>
      </c>
      <c r="AD103" s="192"/>
      <c r="AM103" s="144" t="s">
        <v>342</v>
      </c>
      <c r="AN103" s="145" t="s">
        <v>361</v>
      </c>
      <c r="AO103" s="192"/>
      <c r="AX103" s="144" t="s">
        <v>342</v>
      </c>
      <c r="AY103" s="145" t="s">
        <v>361</v>
      </c>
      <c r="AZ103" s="192"/>
      <c r="BI103" s="144" t="s">
        <v>342</v>
      </c>
      <c r="BJ103" s="145" t="s">
        <v>361</v>
      </c>
      <c r="BK103" s="192"/>
    </row>
    <row r="104" spans="5:63" x14ac:dyDescent="0.2">
      <c r="F104" s="108" t="s">
        <v>343</v>
      </c>
      <c r="G104" s="2">
        <f>VLOOKUP("Pass",F97:G103,2,0)</f>
        <v>25</v>
      </c>
      <c r="Q104" s="108" t="s">
        <v>344</v>
      </c>
      <c r="R104" s="2">
        <f>VLOOKUP("Pass",Q97:R103,2,0)</f>
        <v>25</v>
      </c>
      <c r="AB104" s="108" t="s">
        <v>345</v>
      </c>
      <c r="AC104" s="2">
        <f>VLOOKUP("Pass",AB97:AC103,2,0)</f>
        <v>25</v>
      </c>
      <c r="AM104" s="108" t="s">
        <v>346</v>
      </c>
      <c r="AN104" s="2">
        <f>VLOOKUP("Pass",AM97:AN103,2,0)</f>
        <v>25</v>
      </c>
      <c r="AX104" s="108" t="s">
        <v>347</v>
      </c>
      <c r="AY104" s="2">
        <f>VLOOKUP("Pass",AX97:AY103,2,0)</f>
        <v>25</v>
      </c>
      <c r="BI104" s="108" t="s">
        <v>348</v>
      </c>
      <c r="BJ104" s="2">
        <f>VLOOKUP("Pass",BI97:BJ103,2,0)</f>
        <v>25</v>
      </c>
      <c r="BK104" s="2"/>
    </row>
    <row r="106" spans="5:63" x14ac:dyDescent="0.2">
      <c r="F106" s="108" t="s">
        <v>349</v>
      </c>
      <c r="G106" s="50">
        <f>MAX(G104,R104,AC104,AN104,AY104,BJ104)</f>
        <v>25</v>
      </c>
    </row>
    <row r="108" spans="5:63" x14ac:dyDescent="0.2">
      <c r="F108" s="2" t="s">
        <v>363</v>
      </c>
      <c r="G108" s="2" t="s">
        <v>364</v>
      </c>
      <c r="H108" s="2" t="s">
        <v>298</v>
      </c>
      <c r="I108" s="2" t="s">
        <v>303</v>
      </c>
      <c r="J108" s="2" t="s">
        <v>299</v>
      </c>
      <c r="K108" s="2" t="s">
        <v>304</v>
      </c>
      <c r="L108" s="227"/>
    </row>
    <row r="109" spans="5:63" x14ac:dyDescent="0.2">
      <c r="E109" s="108" t="s">
        <v>362</v>
      </c>
      <c r="F109" s="97" t="e">
        <f>F78</f>
        <v>#N/A</v>
      </c>
      <c r="G109" s="97" t="e">
        <f>Q78</f>
        <v>#N/A</v>
      </c>
      <c r="H109" s="97" t="e">
        <f>AB78</f>
        <v>#N/A</v>
      </c>
      <c r="I109" s="97" t="e">
        <f>AM78</f>
        <v>#N/A</v>
      </c>
      <c r="J109" s="97" t="e">
        <f>AX78</f>
        <v>#N/A</v>
      </c>
      <c r="K109" s="97" t="e">
        <f>BI78</f>
        <v>#N/A</v>
      </c>
      <c r="L109" s="227"/>
    </row>
    <row r="110" spans="5:63" x14ac:dyDescent="0.2">
      <c r="E110" s="108" t="s">
        <v>365</v>
      </c>
      <c r="F110" s="97" t="e">
        <f>F78-90</f>
        <v>#N/A</v>
      </c>
      <c r="G110" s="97" t="e">
        <f>Q78-90*4.5</f>
        <v>#N/A</v>
      </c>
      <c r="H110" s="97" t="e">
        <f>AB78-14.93</f>
        <v>#N/A</v>
      </c>
      <c r="I110" s="97" t="e">
        <f>AM78-14.93*4.5</f>
        <v>#N/A</v>
      </c>
      <c r="J110" s="97" t="e">
        <f>AX78-3.93</f>
        <v>#N/A</v>
      </c>
      <c r="K110" s="97" t="e">
        <f>BI78-3.93*4.5</f>
        <v>#N/A</v>
      </c>
      <c r="L110" s="227"/>
    </row>
    <row r="111" spans="5:63" x14ac:dyDescent="0.2">
      <c r="E111" s="108" t="s">
        <v>156</v>
      </c>
      <c r="F111" s="97">
        <f>F77</f>
        <v>0</v>
      </c>
      <c r="G111" s="97">
        <f>Q77</f>
        <v>0</v>
      </c>
      <c r="H111" s="97">
        <f>AB77</f>
        <v>0</v>
      </c>
      <c r="I111" s="97">
        <f>AM77</f>
        <v>0</v>
      </c>
      <c r="J111" s="97">
        <f>AX77</f>
        <v>0</v>
      </c>
      <c r="K111" s="97">
        <f>BI77</f>
        <v>0</v>
      </c>
      <c r="L111" s="227" t="s">
        <v>369</v>
      </c>
    </row>
    <row r="112" spans="5:63" x14ac:dyDescent="0.2">
      <c r="E112" s="108" t="s">
        <v>368</v>
      </c>
      <c r="F112" s="97" t="e">
        <f>IF(F111=F109,0,IF(F111&lt;=F110,1,1-(F$110-F111)*(1/(F$110-F$109))))</f>
        <v>#N/A</v>
      </c>
      <c r="G112" s="97" t="e">
        <f t="shared" ref="G112:K112" si="154">IF(G111=G109,0,IF(G111&lt;=G110,1,1-(G$110-G111)*(1/(G$110-G$109))))</f>
        <v>#N/A</v>
      </c>
      <c r="H112" s="97" t="e">
        <f t="shared" si="154"/>
        <v>#N/A</v>
      </c>
      <c r="I112" s="97" t="e">
        <f t="shared" si="154"/>
        <v>#N/A</v>
      </c>
      <c r="J112" s="97" t="e">
        <f t="shared" si="154"/>
        <v>#N/A</v>
      </c>
      <c r="K112" s="97" t="e">
        <f t="shared" si="154"/>
        <v>#N/A</v>
      </c>
      <c r="L112" s="97" t="e">
        <f>MAX(0,MIN(F112:K112))</f>
        <v>#N/A</v>
      </c>
    </row>
    <row r="113" spans="6:13" x14ac:dyDescent="0.2">
      <c r="L113" s="227"/>
    </row>
    <row r="114" spans="6:13" x14ac:dyDescent="0.2">
      <c r="F114" s="1"/>
      <c r="L114"/>
      <c r="M114"/>
    </row>
  </sheetData>
  <sheetProtection algorithmName="SHA-512" hashValue="b77X077h/dAMvutgajJXKfRwRF5JmTAqLlQ6nLGG/EsrmjkSuXX91VD9B52EFtxCK8C3IhjjYtdslcdGiZWwHw==" saltValue="2y1rGAAEMpmhBMtftB53Fg==" spinCount="100000" sheet="1" objects="1" scenarios="1" formatCells="0"/>
  <dataConsolidate/>
  <mergeCells count="26">
    <mergeCell ref="D10:F10"/>
    <mergeCell ref="F1:G1"/>
    <mergeCell ref="F2:G2"/>
    <mergeCell ref="H2:I2"/>
    <mergeCell ref="D9:F9"/>
    <mergeCell ref="H1:N1"/>
    <mergeCell ref="M3:O3"/>
    <mergeCell ref="B61:D61"/>
    <mergeCell ref="F61:H61"/>
    <mergeCell ref="I61:K61"/>
    <mergeCell ref="L61:M61"/>
    <mergeCell ref="N61:O61"/>
    <mergeCell ref="AX81:BH81"/>
    <mergeCell ref="D89:D94"/>
    <mergeCell ref="D83:D88"/>
    <mergeCell ref="BI81:BS81"/>
    <mergeCell ref="F64:P64"/>
    <mergeCell ref="F81:P81"/>
    <mergeCell ref="Q81:AA81"/>
    <mergeCell ref="AB81:AL81"/>
    <mergeCell ref="AM81:AW81"/>
    <mergeCell ref="Q64:AA64"/>
    <mergeCell ref="AB64:AL64"/>
    <mergeCell ref="AM64:AW64"/>
    <mergeCell ref="AX64:BH64"/>
    <mergeCell ref="BI64:BS64"/>
  </mergeCells>
  <phoneticPr fontId="7" type="noConversion"/>
  <conditionalFormatting sqref="B21:B22">
    <cfRule type="cellIs" dxfId="27" priority="8" operator="greaterThan">
      <formula>$D$8</formula>
    </cfRule>
  </conditionalFormatting>
  <conditionalFormatting sqref="C21:C22">
    <cfRule type="containsText" dxfId="26" priority="7" operator="containsText" text="&quot;Dist. &gt; Arm Length&quot;">
      <formula>NOT(ISERROR(SEARCH("""Dist. &gt; Arm Length""",C21)))</formula>
    </cfRule>
  </conditionalFormatting>
  <conditionalFormatting sqref="B13:B20">
    <cfRule type="cellIs" dxfId="25" priority="2" operator="greaterThan">
      <formula>$D$8</formula>
    </cfRule>
  </conditionalFormatting>
  <conditionalFormatting sqref="C13:C20">
    <cfRule type="containsText" dxfId="24" priority="1" operator="containsText" text="&quot;Dist. &gt; Arm Length&quot;">
      <formula>NOT(ISERROR(SEARCH("""Dist. &gt; Arm Length""",C13)))</formula>
    </cfRule>
  </conditionalFormatting>
  <dataValidations count="2">
    <dataValidation type="list" allowBlank="1" showInputMessage="1" showErrorMessage="1" sqref="D7" xr:uid="{00000000-0002-0000-0200-000000000000}">
      <formula1>$P$7:$P$9</formula1>
    </dataValidation>
    <dataValidation type="list" showErrorMessage="1" sqref="B37:B44 B49" xr:uid="{00000000-0002-0000-0200-000002000000}">
      <formula1>Heads</formula1>
      <formula2>0</formula2>
    </dataValidation>
  </dataValidations>
  <pageMargins left="0.7" right="0.7" top="0.75" bottom="0.75" header="0.3" footer="0.3"/>
  <pageSetup scale="56" firstPageNumber="0"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'Mast Arm Geometry Tables'!$A$3:$A$10</xm:f>
          </x14:formula1>
          <xm:sqref>D8</xm:sqref>
        </x14:dataValidation>
        <x14:dataValidation type="list" showErrorMessage="1" xr:uid="{7329AB7E-3CF9-43E5-B382-2000443C38D4}">
          <x14:formula1>
            <xm:f>'Equipment Wt &amp; Ht'!$A$3:$A$36</xm:f>
          </x14:formula1>
          <xm:sqref>C13:C22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13"/>
  </sheetPr>
  <dimension ref="A1:BS112"/>
  <sheetViews>
    <sheetView zoomScaleNormal="100" zoomScaleSheetLayoutView="100" workbookViewId="0">
      <selection activeCell="A3" sqref="A3"/>
    </sheetView>
  </sheetViews>
  <sheetFormatPr defaultRowHeight="12.75" x14ac:dyDescent="0.2"/>
  <cols>
    <col min="1" max="1" width="13.42578125" customWidth="1"/>
    <col min="2" max="2" width="23.7109375" customWidth="1"/>
    <col min="3" max="3" width="11.5703125" customWidth="1"/>
    <col min="4" max="4" width="11" customWidth="1"/>
    <col min="5" max="5" width="14" bestFit="1" customWidth="1"/>
    <col min="6" max="6" width="14" customWidth="1"/>
    <col min="7" max="7" width="11.140625" customWidth="1"/>
    <col min="8" max="8" width="11.28515625" customWidth="1"/>
    <col min="9" max="9" width="12" bestFit="1" customWidth="1"/>
    <col min="10" max="10" width="11" bestFit="1" customWidth="1"/>
    <col min="11" max="11" width="12" bestFit="1" customWidth="1"/>
    <col min="12" max="12" width="12.42578125" style="1" customWidth="1"/>
    <col min="13" max="13" width="12.7109375" style="2" bestFit="1" customWidth="1"/>
    <col min="14" max="14" width="11.7109375" bestFit="1" customWidth="1"/>
    <col min="15" max="15" width="11.28515625" bestFit="1" customWidth="1"/>
    <col min="16" max="16" width="18.5703125" bestFit="1" customWidth="1"/>
    <col min="17" max="17" width="10.5703125" bestFit="1" customWidth="1"/>
    <col min="18" max="25" width="9.5703125" bestFit="1" customWidth="1"/>
    <col min="26" max="38" width="9.28515625" bestFit="1" customWidth="1"/>
    <col min="39" max="42" width="9.5703125" bestFit="1" customWidth="1"/>
    <col min="43" max="71" width="9.28515625" bestFit="1" customWidth="1"/>
  </cols>
  <sheetData>
    <row r="1" spans="1:16" s="3" customFormat="1" ht="15.75" x14ac:dyDescent="0.25">
      <c r="A1" s="3" t="s">
        <v>293</v>
      </c>
      <c r="F1" s="278" t="s">
        <v>0</v>
      </c>
      <c r="G1" s="278"/>
      <c r="H1" s="279" t="str">
        <f>IF('Mast Arm 1 Design'!H1="","",'Mast Arm 1 Design'!H1)</f>
        <v/>
      </c>
      <c r="I1" s="279"/>
      <c r="J1" s="279"/>
      <c r="K1" s="279"/>
      <c r="L1" s="279"/>
      <c r="M1" s="279"/>
      <c r="N1" s="279"/>
      <c r="O1" s="240"/>
      <c r="P1" s="240"/>
    </row>
    <row r="2" spans="1:16" ht="16.5" thickBot="1" x14ac:dyDescent="0.25">
      <c r="A2" t="s">
        <v>1</v>
      </c>
      <c r="F2" s="278" t="s">
        <v>2</v>
      </c>
      <c r="G2" s="278"/>
      <c r="H2" s="279" t="str">
        <f>IF('Mast Arm 1 Design'!H2="","",'Mast Arm 1 Design'!H2)</f>
        <v/>
      </c>
      <c r="I2" s="279"/>
      <c r="J2" s="235"/>
      <c r="K2" s="236"/>
      <c r="L2" s="237"/>
      <c r="M2" s="236"/>
      <c r="N2" s="236"/>
      <c r="O2" s="17"/>
      <c r="P2" s="17"/>
    </row>
    <row r="3" spans="1:16" ht="15.75" thickBot="1" x14ac:dyDescent="0.3">
      <c r="B3" s="4"/>
      <c r="M3" s="280" t="s">
        <v>179</v>
      </c>
      <c r="N3" s="281"/>
      <c r="O3" s="282"/>
    </row>
    <row r="4" spans="1:16" ht="15.75" thickBot="1" x14ac:dyDescent="0.3">
      <c r="B4" s="4"/>
      <c r="M4" s="67" t="s">
        <v>180</v>
      </c>
      <c r="N4" s="68" t="s">
        <v>181</v>
      </c>
      <c r="O4" s="69" t="s">
        <v>182</v>
      </c>
    </row>
    <row r="5" spans="1:16" ht="15.75" x14ac:dyDescent="0.25">
      <c r="A5" s="3"/>
      <c r="B5" s="4"/>
      <c r="M5" s="70" t="s">
        <v>183</v>
      </c>
      <c r="N5" s="71"/>
      <c r="O5" s="72"/>
    </row>
    <row r="6" spans="1:16" ht="16.5" thickBot="1" x14ac:dyDescent="0.3">
      <c r="A6" s="3" t="s">
        <v>28</v>
      </c>
      <c r="B6" s="4"/>
      <c r="M6" s="73" t="s">
        <v>184</v>
      </c>
      <c r="N6" s="74"/>
      <c r="O6" s="75"/>
      <c r="P6" t="s">
        <v>35</v>
      </c>
    </row>
    <row r="7" spans="1:16" x14ac:dyDescent="0.2">
      <c r="B7" s="4"/>
      <c r="C7" s="5" t="s">
        <v>111</v>
      </c>
      <c r="D7" s="29" t="str">
        <f>'Mast Arm 1 Design'!D7</f>
        <v>I</v>
      </c>
      <c r="P7" t="s">
        <v>112</v>
      </c>
    </row>
    <row r="8" spans="1:16" x14ac:dyDescent="0.2">
      <c r="B8" s="4"/>
      <c r="C8" s="5" t="s">
        <v>103</v>
      </c>
      <c r="D8" s="7"/>
      <c r="E8" s="6" t="s">
        <v>6</v>
      </c>
      <c r="F8" s="5" t="s">
        <v>267</v>
      </c>
      <c r="G8" s="234"/>
      <c r="H8" t="s">
        <v>287</v>
      </c>
      <c r="P8" t="s">
        <v>113</v>
      </c>
    </row>
    <row r="9" spans="1:16" x14ac:dyDescent="0.2">
      <c r="B9" s="4"/>
      <c r="C9" s="5" t="s">
        <v>198</v>
      </c>
      <c r="D9" s="277" t="str">
        <f>IF(D8="","N/A",IF(D8="None","N/A",IF(D7="I",VLOOKUP(D8,'Mast Arm Geometry Tables'!$A$4:$E$10,5,0),IF(D7="II",VLOOKUP(D8,'Mast Arm Geometry Tables'!$H$4:$L$10,5,0),IF(D7="III",VLOOKUP(D8,'Mast Arm Geometry Tables'!$N$4:$R$10,5,0),"NG")))))</f>
        <v>N/A</v>
      </c>
      <c r="E9" s="277"/>
      <c r="F9" s="277"/>
      <c r="P9" t="s">
        <v>114</v>
      </c>
    </row>
    <row r="10" spans="1:16" x14ac:dyDescent="0.2">
      <c r="B10" s="4"/>
      <c r="C10" s="5" t="s">
        <v>199</v>
      </c>
      <c r="D10" s="277" t="str">
        <f>IF(D8="None","N/A",IF(D7="I",IF(D8&lt;35,"N/A",VLOOKUP(D8,'Mast Arm Geometry Tables'!$A$14:$E$17,5,0)),IF(D7="II",IF(D8&lt;35,"N/A",VLOOKUP(D8,'Mast Arm Geometry Tables'!$H$14:$L$17,5,0)),IF(D7="III",IF(D8&lt;45,"N/A",VLOOKUP(D8,'Mast Arm Geometry Tables'!$N$14:$R$15,5,0)),"CHECK MEMBER LENGTH"))))</f>
        <v>N/A</v>
      </c>
      <c r="E10" s="277"/>
      <c r="F10" s="277"/>
      <c r="G10" s="22"/>
    </row>
    <row r="11" spans="1:16" ht="13.15" customHeight="1" x14ac:dyDescent="0.2">
      <c r="B11" s="4"/>
    </row>
    <row r="12" spans="1:16" ht="38.25" x14ac:dyDescent="0.2">
      <c r="A12" s="14"/>
      <c r="B12" s="9" t="s">
        <v>270</v>
      </c>
      <c r="C12" s="9" t="s">
        <v>330</v>
      </c>
      <c r="D12" s="9" t="s">
        <v>18</v>
      </c>
      <c r="E12" s="9" t="s">
        <v>20</v>
      </c>
      <c r="F12" s="9" t="s">
        <v>19</v>
      </c>
      <c r="G12" s="9" t="s">
        <v>18</v>
      </c>
      <c r="H12" s="9" t="s">
        <v>215</v>
      </c>
      <c r="I12" s="9" t="s">
        <v>224</v>
      </c>
      <c r="J12" s="9" t="s">
        <v>216</v>
      </c>
      <c r="K12" s="9" t="s">
        <v>217</v>
      </c>
    </row>
    <row r="13" spans="1:16" ht="13.15" customHeight="1" x14ac:dyDescent="0.2">
      <c r="A13" t="s">
        <v>75</v>
      </c>
      <c r="B13" s="95"/>
      <c r="C13" s="49"/>
      <c r="D13" s="238"/>
      <c r="E13" s="41"/>
      <c r="F13" s="41"/>
      <c r="G13" s="17"/>
      <c r="H13" s="41"/>
      <c r="I13" s="41"/>
      <c r="J13" s="41"/>
      <c r="K13" s="41"/>
    </row>
    <row r="14" spans="1:16" ht="13.15" customHeight="1" x14ac:dyDescent="0.2">
      <c r="A14" t="s">
        <v>76</v>
      </c>
      <c r="B14" s="95"/>
      <c r="C14" s="49"/>
      <c r="D14" s="238"/>
      <c r="E14" s="41"/>
      <c r="F14" s="41"/>
      <c r="G14" s="17"/>
      <c r="H14" s="41"/>
      <c r="I14" s="41"/>
      <c r="J14" s="41"/>
      <c r="K14" s="41"/>
    </row>
    <row r="15" spans="1:16" x14ac:dyDescent="0.2">
      <c r="A15" t="s">
        <v>77</v>
      </c>
      <c r="B15" s="95"/>
      <c r="C15" s="49"/>
      <c r="D15" s="238"/>
      <c r="E15" s="41"/>
      <c r="F15" s="41"/>
      <c r="G15" s="17"/>
      <c r="H15" s="41"/>
      <c r="I15" s="41"/>
      <c r="J15" s="41"/>
      <c r="K15" s="41"/>
    </row>
    <row r="16" spans="1:16" x14ac:dyDescent="0.2">
      <c r="A16" t="s">
        <v>78</v>
      </c>
      <c r="B16" s="95"/>
      <c r="C16" s="49"/>
      <c r="D16" s="238"/>
      <c r="E16" s="41"/>
      <c r="F16" s="41"/>
      <c r="G16" s="17"/>
      <c r="H16" s="41"/>
      <c r="I16" s="41"/>
      <c r="J16" s="41"/>
      <c r="K16" s="41"/>
    </row>
    <row r="17" spans="1:19" ht="13.15" customHeight="1" x14ac:dyDescent="0.2">
      <c r="A17" t="s">
        <v>79</v>
      </c>
      <c r="B17" s="95"/>
      <c r="C17" s="49"/>
      <c r="D17" s="238"/>
      <c r="E17" s="41"/>
      <c r="F17" s="41"/>
      <c r="G17" s="17"/>
      <c r="H17" s="41"/>
      <c r="I17" s="41"/>
      <c r="J17" s="41"/>
      <c r="K17" s="41"/>
    </row>
    <row r="18" spans="1:19" s="14" customFormat="1" x14ac:dyDescent="0.2">
      <c r="A18" t="s">
        <v>80</v>
      </c>
      <c r="B18" s="95"/>
      <c r="C18" s="49"/>
      <c r="D18" s="238"/>
      <c r="E18" s="41"/>
      <c r="F18" s="41"/>
      <c r="G18" s="239"/>
      <c r="H18" s="41"/>
      <c r="I18" s="41"/>
      <c r="J18" s="41"/>
      <c r="K18" s="41"/>
    </row>
    <row r="19" spans="1:19" ht="13.15" customHeight="1" x14ac:dyDescent="0.2">
      <c r="A19" t="s">
        <v>81</v>
      </c>
      <c r="B19" s="95"/>
      <c r="C19" s="49"/>
      <c r="D19" s="238"/>
      <c r="E19" s="41"/>
      <c r="F19" s="41"/>
      <c r="G19" s="17"/>
      <c r="H19" s="41"/>
      <c r="I19" s="41"/>
      <c r="J19" s="41"/>
      <c r="K19" s="41"/>
    </row>
    <row r="20" spans="1:19" ht="13.15" customHeight="1" x14ac:dyDescent="0.2">
      <c r="A20" t="s">
        <v>82</v>
      </c>
      <c r="B20" s="95"/>
      <c r="C20" s="49"/>
      <c r="D20" s="238"/>
      <c r="E20" s="41"/>
      <c r="F20" s="41"/>
      <c r="G20" s="17"/>
      <c r="H20" s="41"/>
      <c r="I20" s="41"/>
      <c r="J20" s="41"/>
      <c r="K20" s="41"/>
    </row>
    <row r="21" spans="1:19" ht="13.15" customHeight="1" x14ac:dyDescent="0.2">
      <c r="A21" t="s">
        <v>83</v>
      </c>
      <c r="B21" s="95"/>
      <c r="C21" s="49"/>
      <c r="D21" s="238"/>
      <c r="E21" s="41"/>
      <c r="F21" s="41"/>
      <c r="G21" s="17"/>
      <c r="H21" s="41"/>
      <c r="I21" s="41"/>
      <c r="J21" s="41"/>
      <c r="K21" s="41"/>
    </row>
    <row r="22" spans="1:19" x14ac:dyDescent="0.2">
      <c r="A22" t="s">
        <v>84</v>
      </c>
      <c r="B22" s="95"/>
      <c r="C22" s="49"/>
      <c r="D22" s="238"/>
      <c r="E22" s="41"/>
      <c r="F22" s="41"/>
      <c r="G22" s="17"/>
      <c r="H22" s="41"/>
      <c r="I22" s="41"/>
      <c r="J22" s="41"/>
      <c r="K22" s="41"/>
    </row>
    <row r="23" spans="1:19" x14ac:dyDescent="0.2">
      <c r="A23" s="15"/>
      <c r="B23" t="s">
        <v>288</v>
      </c>
      <c r="D23" s="15"/>
      <c r="E23" s="15"/>
    </row>
    <row r="24" spans="1:19" x14ac:dyDescent="0.2">
      <c r="A24" s="15"/>
      <c r="D24" s="15"/>
      <c r="E24" s="15"/>
      <c r="L24"/>
      <c r="M24" s="21"/>
    </row>
    <row r="25" spans="1:19" x14ac:dyDescent="0.2">
      <c r="R25" s="21"/>
      <c r="S25" s="21"/>
    </row>
    <row r="26" spans="1:19" x14ac:dyDescent="0.2">
      <c r="R26" s="21"/>
      <c r="S26" s="21"/>
    </row>
    <row r="27" spans="1:19" x14ac:dyDescent="0.2">
      <c r="R27" s="21"/>
      <c r="S27" s="21"/>
    </row>
    <row r="28" spans="1:19" x14ac:dyDescent="0.2">
      <c r="R28" s="21"/>
      <c r="S28" s="21"/>
    </row>
    <row r="29" spans="1:19" x14ac:dyDescent="0.2">
      <c r="R29" s="21"/>
      <c r="S29" s="21"/>
    </row>
    <row r="30" spans="1:19" x14ac:dyDescent="0.2">
      <c r="R30" s="21"/>
      <c r="S30" s="21"/>
    </row>
    <row r="31" spans="1:19" x14ac:dyDescent="0.2">
      <c r="R31" s="21"/>
      <c r="S31" s="21"/>
    </row>
    <row r="32" spans="1:19" x14ac:dyDescent="0.2">
      <c r="R32" s="21"/>
      <c r="S32" s="21"/>
    </row>
    <row r="33" spans="1:19" x14ac:dyDescent="0.2">
      <c r="R33" s="21"/>
      <c r="S33" s="21"/>
    </row>
    <row r="34" spans="1:19" x14ac:dyDescent="0.2">
      <c r="R34" s="21"/>
      <c r="S34" s="21"/>
    </row>
    <row r="35" spans="1:19" x14ac:dyDescent="0.2">
      <c r="R35" s="21"/>
      <c r="S35" s="21"/>
    </row>
    <row r="36" spans="1:19" x14ac:dyDescent="0.2">
      <c r="R36" s="21"/>
      <c r="S36" s="21"/>
    </row>
    <row r="37" spans="1:19" x14ac:dyDescent="0.2">
      <c r="A37" s="15"/>
      <c r="D37" s="15"/>
      <c r="E37" s="15"/>
      <c r="L37"/>
      <c r="M37" s="21"/>
      <c r="N37" s="21"/>
    </row>
    <row r="38" spans="1:19" x14ac:dyDescent="0.2">
      <c r="A38" s="15"/>
      <c r="D38" s="15"/>
      <c r="E38" s="15"/>
      <c r="L38"/>
      <c r="M38" s="21"/>
      <c r="N38" s="21"/>
    </row>
    <row r="39" spans="1:19" x14ac:dyDescent="0.2">
      <c r="A39" s="15"/>
      <c r="D39" s="15"/>
      <c r="E39" s="15"/>
      <c r="L39"/>
      <c r="M39" s="21"/>
      <c r="N39" s="21"/>
    </row>
    <row r="40" spans="1:19" x14ac:dyDescent="0.2">
      <c r="A40" s="15"/>
      <c r="B40" s="17"/>
      <c r="D40" s="15"/>
      <c r="E40" s="15"/>
      <c r="L40"/>
      <c r="M40" s="21"/>
      <c r="N40" s="21"/>
    </row>
    <row r="41" spans="1:19" x14ac:dyDescent="0.2">
      <c r="A41" s="15"/>
      <c r="B41" s="17"/>
      <c r="D41" s="15"/>
      <c r="E41" s="15"/>
      <c r="L41"/>
      <c r="M41" s="21"/>
      <c r="N41" s="21"/>
    </row>
    <row r="42" spans="1:19" x14ac:dyDescent="0.2">
      <c r="A42" s="15"/>
      <c r="B42" s="17"/>
      <c r="D42" s="15"/>
      <c r="E42" s="15"/>
      <c r="L42"/>
      <c r="M42" s="21"/>
      <c r="N42" s="21"/>
    </row>
    <row r="43" spans="1:19" x14ac:dyDescent="0.2">
      <c r="A43" s="15"/>
      <c r="B43" s="17"/>
      <c r="D43" s="15"/>
      <c r="E43" s="15"/>
      <c r="L43"/>
      <c r="M43" s="21"/>
      <c r="N43" s="21"/>
    </row>
    <row r="44" spans="1:19" x14ac:dyDescent="0.2">
      <c r="A44" s="15"/>
      <c r="B44" s="17"/>
      <c r="D44" s="15"/>
      <c r="E44" s="15"/>
      <c r="L44"/>
      <c r="M44" s="21"/>
      <c r="N44" s="21"/>
    </row>
    <row r="45" spans="1:19" x14ac:dyDescent="0.2">
      <c r="A45" s="15"/>
      <c r="B45" s="17"/>
      <c r="D45" s="15"/>
      <c r="E45" s="15"/>
      <c r="L45"/>
      <c r="M45" s="21"/>
      <c r="N45" s="21"/>
    </row>
    <row r="46" spans="1:19" x14ac:dyDescent="0.2">
      <c r="A46" s="15"/>
      <c r="B46" s="17"/>
      <c r="D46" s="15"/>
      <c r="E46" s="15"/>
      <c r="L46"/>
      <c r="M46" s="21"/>
      <c r="N46" s="21"/>
    </row>
    <row r="47" spans="1:19" x14ac:dyDescent="0.2">
      <c r="A47" s="15"/>
      <c r="B47" s="17"/>
      <c r="D47" s="15"/>
      <c r="E47" s="15"/>
      <c r="L47"/>
      <c r="M47" s="21"/>
      <c r="N47" s="21"/>
    </row>
    <row r="48" spans="1:19" x14ac:dyDescent="0.2">
      <c r="A48" s="15"/>
      <c r="B48" s="17"/>
      <c r="D48" s="15"/>
      <c r="E48" s="15"/>
      <c r="L48"/>
      <c r="M48" s="21"/>
      <c r="N48" s="21"/>
    </row>
    <row r="49" spans="1:71" x14ac:dyDescent="0.2">
      <c r="A49" s="15"/>
      <c r="B49" s="17"/>
      <c r="D49" s="15"/>
      <c r="E49" s="15"/>
      <c r="L49"/>
      <c r="M49" s="21"/>
      <c r="N49" s="21"/>
    </row>
    <row r="50" spans="1:71" ht="52.5" x14ac:dyDescent="0.3">
      <c r="A50" s="15"/>
      <c r="B50" s="9" t="s">
        <v>268</v>
      </c>
      <c r="C50" s="9" t="s">
        <v>17</v>
      </c>
      <c r="D50" s="9" t="s">
        <v>218</v>
      </c>
      <c r="E50" s="9" t="s">
        <v>272</v>
      </c>
      <c r="F50" s="9" t="s">
        <v>173</v>
      </c>
      <c r="G50" s="9" t="s">
        <v>174</v>
      </c>
      <c r="H50" s="9" t="s">
        <v>219</v>
      </c>
      <c r="I50" s="9" t="s">
        <v>175</v>
      </c>
      <c r="J50" s="9" t="s">
        <v>176</v>
      </c>
      <c r="K50" s="9" t="s">
        <v>220</v>
      </c>
      <c r="L50" s="9" t="s">
        <v>177</v>
      </c>
      <c r="M50" s="9" t="s">
        <v>221</v>
      </c>
      <c r="N50" s="9" t="s">
        <v>178</v>
      </c>
      <c r="O50" s="9" t="s">
        <v>222</v>
      </c>
    </row>
    <row r="51" spans="1:71" x14ac:dyDescent="0.2">
      <c r="A51" t="s">
        <v>75</v>
      </c>
      <c r="B51" s="42">
        <f>IF($C13="",0,VLOOKUP($C13,'Equipment Wt &amp; Ht'!$A$2:$J$222,5,0))</f>
        <v>0</v>
      </c>
      <c r="C51" s="59">
        <f t="shared" ref="C51:C60" si="0">(E13*F13)/144*4</f>
        <v>0</v>
      </c>
      <c r="D51" s="59">
        <f t="shared" ref="D51:D60" si="1">IF(H13="",0,H13)</f>
        <v>0</v>
      </c>
      <c r="E51" s="42">
        <f t="shared" ref="E51:E60" si="2">SUM(B51:D51)*B13</f>
        <v>0</v>
      </c>
      <c r="F51" s="44">
        <f>IF(C13="",0,VLOOKUP(C13,'Equipment Wt &amp; Ht'!$A$2:$J$222,6,0))</f>
        <v>0</v>
      </c>
      <c r="G51" s="62">
        <f t="shared" ref="G51:G60" si="3">E13*F13/144</f>
        <v>0</v>
      </c>
      <c r="H51" s="62">
        <f t="shared" ref="H51:H60" si="4">J13*I13/144</f>
        <v>0</v>
      </c>
      <c r="I51" s="44">
        <f t="shared" ref="I51:I60" si="5">F51*B13</f>
        <v>0</v>
      </c>
      <c r="J51" s="62">
        <f t="shared" ref="J51:J60" si="6">G51*B13</f>
        <v>0</v>
      </c>
      <c r="K51" s="62">
        <f t="shared" ref="K51:K60" si="7">H51*B13</f>
        <v>0</v>
      </c>
      <c r="L51" s="44">
        <f>IF(C13="",0,VLOOKUP(C13,'Equipment Wt &amp; Ht'!$A$2:$L$222,8,0))</f>
        <v>0</v>
      </c>
      <c r="M51" s="62">
        <f t="shared" ref="M51:M60" si="8">(J13*K13)/144</f>
        <v>0</v>
      </c>
      <c r="N51" s="44">
        <f t="shared" ref="N51:N60" si="9">L51*B13</f>
        <v>0</v>
      </c>
      <c r="O51" s="45">
        <f t="shared" ref="O51:O60" si="10">M51*B13</f>
        <v>0</v>
      </c>
    </row>
    <row r="52" spans="1:71" x14ac:dyDescent="0.2">
      <c r="A52" t="s">
        <v>76</v>
      </c>
      <c r="B52" s="43">
        <f>IF($C14="",0,VLOOKUP($C14,'Equipment Wt &amp; Ht'!$A$2:$J$222,5,0))</f>
        <v>0</v>
      </c>
      <c r="C52" s="60">
        <f t="shared" si="0"/>
        <v>0</v>
      </c>
      <c r="D52" s="60">
        <f t="shared" si="1"/>
        <v>0</v>
      </c>
      <c r="E52" s="43">
        <f t="shared" si="2"/>
        <v>0</v>
      </c>
      <c r="F52" s="46">
        <f>IF(C14="",0,VLOOKUP(C14,'Equipment Wt &amp; Ht'!$A$2:$J$222,6,0))</f>
        <v>0</v>
      </c>
      <c r="G52" s="61">
        <f t="shared" si="3"/>
        <v>0</v>
      </c>
      <c r="H52" s="61">
        <f t="shared" si="4"/>
        <v>0</v>
      </c>
      <c r="I52" s="46">
        <f t="shared" si="5"/>
        <v>0</v>
      </c>
      <c r="J52" s="61">
        <f t="shared" si="6"/>
        <v>0</v>
      </c>
      <c r="K52" s="61">
        <f t="shared" si="7"/>
        <v>0</v>
      </c>
      <c r="L52" s="46">
        <f>IF(C14="",0,VLOOKUP(C14,'Equipment Wt &amp; Ht'!$A$2:$L$222,8,0))</f>
        <v>0</v>
      </c>
      <c r="M52" s="61">
        <f t="shared" si="8"/>
        <v>0</v>
      </c>
      <c r="N52" s="46">
        <f t="shared" si="9"/>
        <v>0</v>
      </c>
      <c r="O52" s="47">
        <f t="shared" si="10"/>
        <v>0</v>
      </c>
    </row>
    <row r="53" spans="1:71" x14ac:dyDescent="0.2">
      <c r="A53" t="s">
        <v>77</v>
      </c>
      <c r="B53" s="43">
        <f>IF($C15="",0,VLOOKUP($C15,'Equipment Wt &amp; Ht'!$A$2:$J$222,5,0))</f>
        <v>0</v>
      </c>
      <c r="C53" s="60">
        <f t="shared" si="0"/>
        <v>0</v>
      </c>
      <c r="D53" s="60">
        <f t="shared" si="1"/>
        <v>0</v>
      </c>
      <c r="E53" s="43">
        <f t="shared" si="2"/>
        <v>0</v>
      </c>
      <c r="F53" s="46">
        <f>IF(C15="",0,VLOOKUP(C15,'Equipment Wt &amp; Ht'!$A$2:$J$222,6,0))</f>
        <v>0</v>
      </c>
      <c r="G53" s="61">
        <f t="shared" si="3"/>
        <v>0</v>
      </c>
      <c r="H53" s="61">
        <f t="shared" si="4"/>
        <v>0</v>
      </c>
      <c r="I53" s="46">
        <f t="shared" si="5"/>
        <v>0</v>
      </c>
      <c r="J53" s="61">
        <f t="shared" si="6"/>
        <v>0</v>
      </c>
      <c r="K53" s="61">
        <f t="shared" si="7"/>
        <v>0</v>
      </c>
      <c r="L53" s="46">
        <f>IF(C15="",0,VLOOKUP(C15,'Equipment Wt &amp; Ht'!$A$2:$L$222,8,0))</f>
        <v>0</v>
      </c>
      <c r="M53" s="61">
        <f t="shared" si="8"/>
        <v>0</v>
      </c>
      <c r="N53" s="46">
        <f t="shared" si="9"/>
        <v>0</v>
      </c>
      <c r="O53" s="47">
        <f t="shared" si="10"/>
        <v>0</v>
      </c>
    </row>
    <row r="54" spans="1:71" x14ac:dyDescent="0.2">
      <c r="A54" t="s">
        <v>78</v>
      </c>
      <c r="B54" s="43">
        <f>IF($C16="",0,VLOOKUP($C16,'Equipment Wt &amp; Ht'!$A$2:$J$222,5,0))</f>
        <v>0</v>
      </c>
      <c r="C54" s="60">
        <f t="shared" si="0"/>
        <v>0</v>
      </c>
      <c r="D54" s="60">
        <f t="shared" si="1"/>
        <v>0</v>
      </c>
      <c r="E54" s="43">
        <f t="shared" si="2"/>
        <v>0</v>
      </c>
      <c r="F54" s="46">
        <f>IF(C16="",0,VLOOKUP(C16,'Equipment Wt &amp; Ht'!$A$2:$J$222,6,0))</f>
        <v>0</v>
      </c>
      <c r="G54" s="61">
        <f t="shared" si="3"/>
        <v>0</v>
      </c>
      <c r="H54" s="61">
        <f t="shared" si="4"/>
        <v>0</v>
      </c>
      <c r="I54" s="46">
        <f t="shared" si="5"/>
        <v>0</v>
      </c>
      <c r="J54" s="61">
        <f t="shared" si="6"/>
        <v>0</v>
      </c>
      <c r="K54" s="61">
        <f t="shared" si="7"/>
        <v>0</v>
      </c>
      <c r="L54" s="46">
        <f>IF(C16="",0,VLOOKUP(C16,'Equipment Wt &amp; Ht'!$A$2:$L$222,8,0))</f>
        <v>0</v>
      </c>
      <c r="M54" s="61">
        <f t="shared" si="8"/>
        <v>0</v>
      </c>
      <c r="N54" s="46">
        <f t="shared" si="9"/>
        <v>0</v>
      </c>
      <c r="O54" s="47">
        <f t="shared" si="10"/>
        <v>0</v>
      </c>
    </row>
    <row r="55" spans="1:71" x14ac:dyDescent="0.2">
      <c r="A55" t="s">
        <v>79</v>
      </c>
      <c r="B55" s="43">
        <f>IF($C17="",0,VLOOKUP($C17,'Equipment Wt &amp; Ht'!$A$2:$J$222,5,0))</f>
        <v>0</v>
      </c>
      <c r="C55" s="60">
        <f t="shared" si="0"/>
        <v>0</v>
      </c>
      <c r="D55" s="60">
        <f t="shared" si="1"/>
        <v>0</v>
      </c>
      <c r="E55" s="43">
        <f t="shared" si="2"/>
        <v>0</v>
      </c>
      <c r="F55" s="46">
        <f>IF(C17="",0,VLOOKUP(C17,'Equipment Wt &amp; Ht'!$A$2:$J$222,6,0))</f>
        <v>0</v>
      </c>
      <c r="G55" s="61">
        <f t="shared" si="3"/>
        <v>0</v>
      </c>
      <c r="H55" s="61">
        <f t="shared" si="4"/>
        <v>0</v>
      </c>
      <c r="I55" s="46">
        <f t="shared" si="5"/>
        <v>0</v>
      </c>
      <c r="J55" s="61">
        <f t="shared" si="6"/>
        <v>0</v>
      </c>
      <c r="K55" s="61">
        <f t="shared" si="7"/>
        <v>0</v>
      </c>
      <c r="L55" s="46">
        <f>IF(C17="",0,VLOOKUP(C17,'Equipment Wt &amp; Ht'!$A$2:$L$222,8,0))</f>
        <v>0</v>
      </c>
      <c r="M55" s="61">
        <f t="shared" si="8"/>
        <v>0</v>
      </c>
      <c r="N55" s="46">
        <f t="shared" si="9"/>
        <v>0</v>
      </c>
      <c r="O55" s="47">
        <f t="shared" si="10"/>
        <v>0</v>
      </c>
    </row>
    <row r="56" spans="1:71" x14ac:dyDescent="0.2">
      <c r="A56" t="s">
        <v>80</v>
      </c>
      <c r="B56" s="43">
        <f>IF($C18="",0,VLOOKUP($C18,'Equipment Wt &amp; Ht'!$A$2:$J$222,5,0))</f>
        <v>0</v>
      </c>
      <c r="C56" s="60">
        <f t="shared" si="0"/>
        <v>0</v>
      </c>
      <c r="D56" s="60">
        <f t="shared" si="1"/>
        <v>0</v>
      </c>
      <c r="E56" s="43">
        <f t="shared" si="2"/>
        <v>0</v>
      </c>
      <c r="F56" s="46">
        <f>IF(C18="",0,VLOOKUP(C18,'Equipment Wt &amp; Ht'!$A$2:$J$222,6,0))</f>
        <v>0</v>
      </c>
      <c r="G56" s="61">
        <f t="shared" si="3"/>
        <v>0</v>
      </c>
      <c r="H56" s="61">
        <f t="shared" si="4"/>
        <v>0</v>
      </c>
      <c r="I56" s="46">
        <f t="shared" si="5"/>
        <v>0</v>
      </c>
      <c r="J56" s="61">
        <f t="shared" si="6"/>
        <v>0</v>
      </c>
      <c r="K56" s="61">
        <f t="shared" si="7"/>
        <v>0</v>
      </c>
      <c r="L56" s="46">
        <f>IF(C18="",0,VLOOKUP(C18,'Equipment Wt &amp; Ht'!$A$2:$L$222,8,0))</f>
        <v>0</v>
      </c>
      <c r="M56" s="61">
        <f t="shared" si="8"/>
        <v>0</v>
      </c>
      <c r="N56" s="46">
        <f t="shared" si="9"/>
        <v>0</v>
      </c>
      <c r="O56" s="47">
        <f t="shared" si="10"/>
        <v>0</v>
      </c>
    </row>
    <row r="57" spans="1:71" x14ac:dyDescent="0.2">
      <c r="A57" t="s">
        <v>81</v>
      </c>
      <c r="B57" s="43">
        <f>IF($C19="",0,VLOOKUP($C19,'Equipment Wt &amp; Ht'!$A$2:$J$222,5,0))</f>
        <v>0</v>
      </c>
      <c r="C57" s="60">
        <f t="shared" si="0"/>
        <v>0</v>
      </c>
      <c r="D57" s="60">
        <f t="shared" si="1"/>
        <v>0</v>
      </c>
      <c r="E57" s="43">
        <f t="shared" si="2"/>
        <v>0</v>
      </c>
      <c r="F57" s="46">
        <f>IF(C19="",0,VLOOKUP(C19,'Equipment Wt &amp; Ht'!$A$2:$J$222,6,0))</f>
        <v>0</v>
      </c>
      <c r="G57" s="61">
        <f t="shared" si="3"/>
        <v>0</v>
      </c>
      <c r="H57" s="61">
        <f t="shared" si="4"/>
        <v>0</v>
      </c>
      <c r="I57" s="46">
        <f t="shared" si="5"/>
        <v>0</v>
      </c>
      <c r="J57" s="61">
        <f t="shared" si="6"/>
        <v>0</v>
      </c>
      <c r="K57" s="61">
        <f t="shared" si="7"/>
        <v>0</v>
      </c>
      <c r="L57" s="46">
        <f>IF(C19="",0,VLOOKUP(C19,'Equipment Wt &amp; Ht'!$A$2:$L$222,8,0))</f>
        <v>0</v>
      </c>
      <c r="M57" s="61">
        <f t="shared" si="8"/>
        <v>0</v>
      </c>
      <c r="N57" s="46">
        <f t="shared" si="9"/>
        <v>0</v>
      </c>
      <c r="O57" s="47">
        <f t="shared" si="10"/>
        <v>0</v>
      </c>
    </row>
    <row r="58" spans="1:71" x14ac:dyDescent="0.2">
      <c r="A58" t="s">
        <v>82</v>
      </c>
      <c r="B58" s="43">
        <f>IF($C20="",0,VLOOKUP($C20,'Equipment Wt &amp; Ht'!$A$2:$J$222,5,0))</f>
        <v>0</v>
      </c>
      <c r="C58" s="60">
        <f t="shared" si="0"/>
        <v>0</v>
      </c>
      <c r="D58" s="60">
        <f t="shared" si="1"/>
        <v>0</v>
      </c>
      <c r="E58" s="43">
        <f t="shared" si="2"/>
        <v>0</v>
      </c>
      <c r="F58" s="46">
        <f>IF(C20="",0,VLOOKUP(C20,'Equipment Wt &amp; Ht'!$A$2:$J$222,6,0))</f>
        <v>0</v>
      </c>
      <c r="G58" s="61">
        <f t="shared" si="3"/>
        <v>0</v>
      </c>
      <c r="H58" s="61">
        <f t="shared" si="4"/>
        <v>0</v>
      </c>
      <c r="I58" s="46">
        <f t="shared" si="5"/>
        <v>0</v>
      </c>
      <c r="J58" s="61">
        <f t="shared" si="6"/>
        <v>0</v>
      </c>
      <c r="K58" s="61">
        <f t="shared" si="7"/>
        <v>0</v>
      </c>
      <c r="L58" s="46">
        <f>IF(C20="",0,VLOOKUP(C20,'Equipment Wt &amp; Ht'!$A$2:$L$222,8,0))</f>
        <v>0</v>
      </c>
      <c r="M58" s="61">
        <f t="shared" si="8"/>
        <v>0</v>
      </c>
      <c r="N58" s="46">
        <f t="shared" si="9"/>
        <v>0</v>
      </c>
      <c r="O58" s="47">
        <f t="shared" si="10"/>
        <v>0</v>
      </c>
    </row>
    <row r="59" spans="1:71" x14ac:dyDescent="0.2">
      <c r="A59" t="s">
        <v>83</v>
      </c>
      <c r="B59" s="43">
        <f>IF($C21="",0,VLOOKUP($C21,'Equipment Wt &amp; Ht'!$A$2:$J$222,5,0))</f>
        <v>0</v>
      </c>
      <c r="C59" s="60">
        <f t="shared" si="0"/>
        <v>0</v>
      </c>
      <c r="D59" s="60">
        <f t="shared" si="1"/>
        <v>0</v>
      </c>
      <c r="E59" s="43">
        <f t="shared" si="2"/>
        <v>0</v>
      </c>
      <c r="F59" s="46">
        <f>IF(C21="",0,VLOOKUP(C21,'Equipment Wt &amp; Ht'!$A$2:$J$222,6,0))</f>
        <v>0</v>
      </c>
      <c r="G59" s="61">
        <f t="shared" si="3"/>
        <v>0</v>
      </c>
      <c r="H59" s="61">
        <f t="shared" si="4"/>
        <v>0</v>
      </c>
      <c r="I59" s="46">
        <f t="shared" si="5"/>
        <v>0</v>
      </c>
      <c r="J59" s="61">
        <f t="shared" si="6"/>
        <v>0</v>
      </c>
      <c r="K59" s="61">
        <f t="shared" si="7"/>
        <v>0</v>
      </c>
      <c r="L59" s="46">
        <f>IF(C21="",0,VLOOKUP(C21,'Equipment Wt &amp; Ht'!$A$2:$L$222,8,0))</f>
        <v>0</v>
      </c>
      <c r="M59" s="61">
        <f t="shared" si="8"/>
        <v>0</v>
      </c>
      <c r="N59" s="46">
        <f t="shared" si="9"/>
        <v>0</v>
      </c>
      <c r="O59" s="47">
        <f t="shared" si="10"/>
        <v>0</v>
      </c>
    </row>
    <row r="60" spans="1:71" x14ac:dyDescent="0.2">
      <c r="A60" t="s">
        <v>84</v>
      </c>
      <c r="B60" s="43">
        <f>IF($C22="",0,VLOOKUP($C22,'Equipment Wt &amp; Ht'!$A$2:$J$222,5,0))</f>
        <v>0</v>
      </c>
      <c r="C60" s="60">
        <f t="shared" si="0"/>
        <v>0</v>
      </c>
      <c r="D60" s="60">
        <f t="shared" si="1"/>
        <v>0</v>
      </c>
      <c r="E60" s="66">
        <f t="shared" si="2"/>
        <v>0</v>
      </c>
      <c r="F60" s="57">
        <f>IF(C22="",0,VLOOKUP(C22,'Equipment Wt &amp; Ht'!$A$2:$J$222,6,0))</f>
        <v>0</v>
      </c>
      <c r="G60" s="64">
        <f t="shared" si="3"/>
        <v>0</v>
      </c>
      <c r="H60" s="64">
        <f t="shared" si="4"/>
        <v>0</v>
      </c>
      <c r="I60" s="57">
        <f t="shared" si="5"/>
        <v>0</v>
      </c>
      <c r="J60" s="64">
        <f t="shared" si="6"/>
        <v>0</v>
      </c>
      <c r="K60" s="64">
        <f t="shared" si="7"/>
        <v>0</v>
      </c>
      <c r="L60" s="57">
        <f>IF(C22="",0,VLOOKUP(C22,'Equipment Wt &amp; Ht'!$A$2:$L$222,8,0))</f>
        <v>0</v>
      </c>
      <c r="M60" s="64">
        <f t="shared" si="8"/>
        <v>0</v>
      </c>
      <c r="N60" s="57">
        <f t="shared" si="9"/>
        <v>0</v>
      </c>
      <c r="O60" s="58">
        <f t="shared" si="10"/>
        <v>0</v>
      </c>
    </row>
    <row r="61" spans="1:71" x14ac:dyDescent="0.2">
      <c r="A61" s="5" t="s">
        <v>130</v>
      </c>
      <c r="B61" s="272">
        <f>SUM(B51:D60)</f>
        <v>0</v>
      </c>
      <c r="C61" s="273"/>
      <c r="D61" s="274"/>
      <c r="E61" s="65">
        <f>SUM(E51:E60)</f>
        <v>0</v>
      </c>
      <c r="F61" s="272">
        <f>SUM(F51:H60)</f>
        <v>0</v>
      </c>
      <c r="G61" s="273"/>
      <c r="H61" s="274"/>
      <c r="I61" s="272">
        <f>SUM(I51:K60)</f>
        <v>0</v>
      </c>
      <c r="J61" s="273"/>
      <c r="K61" s="274"/>
      <c r="L61" s="272">
        <f>SUM(L51:M60)</f>
        <v>0</v>
      </c>
      <c r="M61" s="274"/>
      <c r="N61" s="275">
        <f>SUM(N51:O60)</f>
        <v>0</v>
      </c>
      <c r="O61" s="283"/>
    </row>
    <row r="63" spans="1:71" ht="13.5" thickBot="1" x14ac:dyDescent="0.25"/>
    <row r="64" spans="1:71" ht="15.75" x14ac:dyDescent="0.3">
      <c r="F64" s="265" t="s">
        <v>322</v>
      </c>
      <c r="G64" s="266"/>
      <c r="H64" s="266"/>
      <c r="I64" s="266"/>
      <c r="J64" s="266"/>
      <c r="K64" s="266"/>
      <c r="L64" s="266"/>
      <c r="M64" s="266"/>
      <c r="N64" s="266"/>
      <c r="O64" s="266"/>
      <c r="P64" s="268"/>
      <c r="Q64" s="265" t="s">
        <v>323</v>
      </c>
      <c r="R64" s="266"/>
      <c r="S64" s="266"/>
      <c r="T64" s="266"/>
      <c r="U64" s="266"/>
      <c r="V64" s="266"/>
      <c r="W64" s="266"/>
      <c r="X64" s="266"/>
      <c r="Y64" s="266"/>
      <c r="Z64" s="266"/>
      <c r="AA64" s="267"/>
      <c r="AB64" s="271" t="s">
        <v>324</v>
      </c>
      <c r="AC64" s="266"/>
      <c r="AD64" s="266"/>
      <c r="AE64" s="266"/>
      <c r="AF64" s="266"/>
      <c r="AG64" s="266"/>
      <c r="AH64" s="266"/>
      <c r="AI64" s="266"/>
      <c r="AJ64" s="266"/>
      <c r="AK64" s="266"/>
      <c r="AL64" s="268"/>
      <c r="AM64" s="265" t="s">
        <v>325</v>
      </c>
      <c r="AN64" s="266"/>
      <c r="AO64" s="266"/>
      <c r="AP64" s="266"/>
      <c r="AQ64" s="266"/>
      <c r="AR64" s="266"/>
      <c r="AS64" s="266"/>
      <c r="AT64" s="266"/>
      <c r="AU64" s="266"/>
      <c r="AV64" s="266"/>
      <c r="AW64" s="267"/>
      <c r="AX64" s="271" t="s">
        <v>326</v>
      </c>
      <c r="AY64" s="266"/>
      <c r="AZ64" s="266"/>
      <c r="BA64" s="266"/>
      <c r="BB64" s="266"/>
      <c r="BC64" s="266"/>
      <c r="BD64" s="266"/>
      <c r="BE64" s="266"/>
      <c r="BF64" s="266"/>
      <c r="BG64" s="266"/>
      <c r="BH64" s="268"/>
      <c r="BI64" s="265" t="s">
        <v>327</v>
      </c>
      <c r="BJ64" s="266"/>
      <c r="BK64" s="266"/>
      <c r="BL64" s="266"/>
      <c r="BM64" s="266"/>
      <c r="BN64" s="266"/>
      <c r="BO64" s="266"/>
      <c r="BP64" s="266"/>
      <c r="BQ64" s="266"/>
      <c r="BR64" s="266"/>
      <c r="BS64" s="267"/>
    </row>
    <row r="65" spans="1:71" ht="13.5" thickBot="1" x14ac:dyDescent="0.25">
      <c r="E65" s="108" t="s">
        <v>317</v>
      </c>
      <c r="F65" s="142">
        <v>2</v>
      </c>
      <c r="G65" s="31">
        <v>3</v>
      </c>
      <c r="H65" s="31">
        <v>4</v>
      </c>
      <c r="I65" s="31">
        <v>5</v>
      </c>
      <c r="J65" s="31">
        <v>6</v>
      </c>
      <c r="K65" s="31">
        <v>7</v>
      </c>
      <c r="L65" s="31">
        <v>8</v>
      </c>
      <c r="M65" s="31">
        <v>9</v>
      </c>
      <c r="N65" s="31">
        <v>10</v>
      </c>
      <c r="O65" s="31">
        <v>11</v>
      </c>
      <c r="P65" s="140">
        <v>12</v>
      </c>
      <c r="Q65" s="142">
        <v>13</v>
      </c>
      <c r="R65" s="31">
        <v>14</v>
      </c>
      <c r="S65" s="31">
        <v>15</v>
      </c>
      <c r="T65" s="31">
        <v>16</v>
      </c>
      <c r="U65" s="31">
        <v>17</v>
      </c>
      <c r="V65" s="31">
        <v>18</v>
      </c>
      <c r="W65" s="31">
        <v>19</v>
      </c>
      <c r="X65" s="31">
        <v>20</v>
      </c>
      <c r="Y65" s="31">
        <v>21</v>
      </c>
      <c r="Z65" s="31">
        <v>22</v>
      </c>
      <c r="AA65" s="143">
        <v>23</v>
      </c>
      <c r="AB65" s="141">
        <v>24</v>
      </c>
      <c r="AC65" s="31">
        <v>25</v>
      </c>
      <c r="AD65" s="31">
        <v>26</v>
      </c>
      <c r="AE65" s="31">
        <v>27</v>
      </c>
      <c r="AF65" s="31">
        <v>28</v>
      </c>
      <c r="AG65" s="31">
        <v>29</v>
      </c>
      <c r="AH65" s="31">
        <v>30</v>
      </c>
      <c r="AI65" s="31">
        <v>31</v>
      </c>
      <c r="AJ65" s="31">
        <v>32</v>
      </c>
      <c r="AK65" s="31">
        <v>33</v>
      </c>
      <c r="AL65" s="140">
        <v>34</v>
      </c>
      <c r="AM65" s="142">
        <v>35</v>
      </c>
      <c r="AN65" s="31">
        <v>36</v>
      </c>
      <c r="AO65" s="31">
        <v>37</v>
      </c>
      <c r="AP65" s="31">
        <v>38</v>
      </c>
      <c r="AQ65" s="31">
        <v>39</v>
      </c>
      <c r="AR65" s="31">
        <v>40</v>
      </c>
      <c r="AS65" s="31">
        <v>41</v>
      </c>
      <c r="AT65" s="31">
        <v>42</v>
      </c>
      <c r="AU65" s="31">
        <v>43</v>
      </c>
      <c r="AV65" s="31">
        <v>44</v>
      </c>
      <c r="AW65" s="143">
        <v>45</v>
      </c>
      <c r="AX65" s="141">
        <v>46</v>
      </c>
      <c r="AY65" s="31">
        <v>47</v>
      </c>
      <c r="AZ65" s="31">
        <v>48</v>
      </c>
      <c r="BA65" s="31">
        <v>49</v>
      </c>
      <c r="BB65" s="31">
        <v>50</v>
      </c>
      <c r="BC65" s="31">
        <v>51</v>
      </c>
      <c r="BD65" s="31">
        <v>52</v>
      </c>
      <c r="BE65" s="31">
        <v>53</v>
      </c>
      <c r="BF65" s="31">
        <v>54</v>
      </c>
      <c r="BG65" s="31">
        <v>55</v>
      </c>
      <c r="BH65" s="140">
        <v>56</v>
      </c>
      <c r="BI65" s="142">
        <v>57</v>
      </c>
      <c r="BJ65" s="31">
        <v>58</v>
      </c>
      <c r="BK65" s="31">
        <v>59</v>
      </c>
      <c r="BL65" s="31">
        <v>60</v>
      </c>
      <c r="BM65" s="31">
        <v>61</v>
      </c>
      <c r="BN65" s="31">
        <v>62</v>
      </c>
      <c r="BO65" s="31">
        <v>63</v>
      </c>
      <c r="BP65" s="31">
        <v>64</v>
      </c>
      <c r="BQ65" s="31">
        <v>65</v>
      </c>
      <c r="BR65" s="31">
        <v>66</v>
      </c>
      <c r="BS65" s="143">
        <v>67</v>
      </c>
    </row>
    <row r="66" spans="1:71" ht="16.5" thickBot="1" x14ac:dyDescent="0.35">
      <c r="A66" s="159" t="s">
        <v>296</v>
      </c>
      <c r="B66" s="160" t="s">
        <v>318</v>
      </c>
      <c r="C66" s="160" t="s">
        <v>319</v>
      </c>
      <c r="D66" s="160" t="s">
        <v>321</v>
      </c>
      <c r="E66" s="161" t="s">
        <v>320</v>
      </c>
      <c r="F66" s="144">
        <v>0</v>
      </c>
      <c r="G66" s="145">
        <v>5</v>
      </c>
      <c r="H66" s="145">
        <v>10</v>
      </c>
      <c r="I66" s="145">
        <v>15</v>
      </c>
      <c r="J66" s="145">
        <v>20</v>
      </c>
      <c r="K66" s="145">
        <v>25</v>
      </c>
      <c r="L66" s="145">
        <v>30</v>
      </c>
      <c r="M66" s="145">
        <v>35</v>
      </c>
      <c r="N66" s="145">
        <v>40</v>
      </c>
      <c r="O66" s="145">
        <v>45</v>
      </c>
      <c r="P66" s="164">
        <v>50</v>
      </c>
      <c r="Q66" s="144">
        <v>0</v>
      </c>
      <c r="R66" s="145">
        <v>5</v>
      </c>
      <c r="S66" s="145">
        <v>10</v>
      </c>
      <c r="T66" s="145">
        <v>15</v>
      </c>
      <c r="U66" s="145">
        <v>20</v>
      </c>
      <c r="V66" s="145">
        <v>25</v>
      </c>
      <c r="W66" s="145">
        <v>30</v>
      </c>
      <c r="X66" s="145">
        <v>35</v>
      </c>
      <c r="Y66" s="145">
        <v>40</v>
      </c>
      <c r="Z66" s="145">
        <v>45</v>
      </c>
      <c r="AA66" s="146">
        <v>50</v>
      </c>
      <c r="AB66" s="148">
        <v>0</v>
      </c>
      <c r="AC66" s="145">
        <v>5</v>
      </c>
      <c r="AD66" s="145">
        <v>10</v>
      </c>
      <c r="AE66" s="145">
        <v>15</v>
      </c>
      <c r="AF66" s="145">
        <v>20</v>
      </c>
      <c r="AG66" s="145">
        <v>25</v>
      </c>
      <c r="AH66" s="145">
        <v>30</v>
      </c>
      <c r="AI66" s="145">
        <v>35</v>
      </c>
      <c r="AJ66" s="145">
        <v>40</v>
      </c>
      <c r="AK66" s="145">
        <v>45</v>
      </c>
      <c r="AL66" s="164">
        <v>50</v>
      </c>
      <c r="AM66" s="144">
        <v>0</v>
      </c>
      <c r="AN66" s="145">
        <v>5</v>
      </c>
      <c r="AO66" s="145">
        <v>10</v>
      </c>
      <c r="AP66" s="145">
        <v>15</v>
      </c>
      <c r="AQ66" s="145">
        <v>20</v>
      </c>
      <c r="AR66" s="145">
        <v>25</v>
      </c>
      <c r="AS66" s="145">
        <v>30</v>
      </c>
      <c r="AT66" s="145">
        <v>35</v>
      </c>
      <c r="AU66" s="145">
        <v>40</v>
      </c>
      <c r="AV66" s="145">
        <v>45</v>
      </c>
      <c r="AW66" s="146">
        <v>50</v>
      </c>
      <c r="AX66" s="148">
        <v>0</v>
      </c>
      <c r="AY66" s="145">
        <v>5</v>
      </c>
      <c r="AZ66" s="145">
        <v>10</v>
      </c>
      <c r="BA66" s="145">
        <v>15</v>
      </c>
      <c r="BB66" s="145">
        <v>20</v>
      </c>
      <c r="BC66" s="145">
        <v>25</v>
      </c>
      <c r="BD66" s="145">
        <v>30</v>
      </c>
      <c r="BE66" s="145">
        <v>35</v>
      </c>
      <c r="BF66" s="145">
        <v>40</v>
      </c>
      <c r="BG66" s="145">
        <v>45</v>
      </c>
      <c r="BH66" s="164">
        <v>50</v>
      </c>
      <c r="BI66" s="144">
        <v>0</v>
      </c>
      <c r="BJ66" s="145">
        <v>5</v>
      </c>
      <c r="BK66" s="145">
        <v>10</v>
      </c>
      <c r="BL66" s="145">
        <v>15</v>
      </c>
      <c r="BM66" s="145">
        <v>20</v>
      </c>
      <c r="BN66" s="145">
        <v>25</v>
      </c>
      <c r="BO66" s="145">
        <v>30</v>
      </c>
      <c r="BP66" s="145">
        <v>35</v>
      </c>
      <c r="BQ66" s="145">
        <v>40</v>
      </c>
      <c r="BR66" s="145">
        <v>45</v>
      </c>
      <c r="BS66" s="146">
        <v>50</v>
      </c>
    </row>
    <row r="67" spans="1:71" x14ac:dyDescent="0.2">
      <c r="A67" s="149" t="s">
        <v>75</v>
      </c>
      <c r="B67" s="150">
        <f>B13</f>
        <v>0</v>
      </c>
      <c r="C67" s="151">
        <f>SUM(B51:D51)</f>
        <v>0</v>
      </c>
      <c r="D67" s="151">
        <f t="shared" ref="D67:D76" si="11">SUM(F51:H51)</f>
        <v>0</v>
      </c>
      <c r="E67" s="152">
        <f t="shared" ref="E67:E76" si="12">SUM(L51:M51)</f>
        <v>0</v>
      </c>
      <c r="F67" s="193">
        <f t="shared" ref="F67:P76" si="13">IF(($B67-F$66)&gt;=0,$C67,0)</f>
        <v>0</v>
      </c>
      <c r="G67" s="186">
        <f t="shared" si="13"/>
        <v>0</v>
      </c>
      <c r="H67" s="186">
        <f t="shared" si="13"/>
        <v>0</v>
      </c>
      <c r="I67" s="186">
        <f t="shared" si="13"/>
        <v>0</v>
      </c>
      <c r="J67" s="186">
        <f t="shared" si="13"/>
        <v>0</v>
      </c>
      <c r="K67" s="186">
        <f t="shared" si="13"/>
        <v>0</v>
      </c>
      <c r="L67" s="186">
        <f t="shared" si="13"/>
        <v>0</v>
      </c>
      <c r="M67" s="186">
        <f t="shared" si="13"/>
        <v>0</v>
      </c>
      <c r="N67" s="186">
        <f t="shared" si="13"/>
        <v>0</v>
      </c>
      <c r="O67" s="186">
        <f t="shared" si="13"/>
        <v>0</v>
      </c>
      <c r="P67" s="194">
        <f t="shared" si="13"/>
        <v>0</v>
      </c>
      <c r="Q67" s="185">
        <f t="shared" ref="Q67:Q76" si="14">IF(($B67-Q$66)&gt;=0,$C67*($B67-Q$66),0)</f>
        <v>0</v>
      </c>
      <c r="R67" s="186">
        <f t="shared" ref="R67:AA67" si="15">IF(($B67-R$66)&gt;=0,$C67*($B67-R$66),0)</f>
        <v>0</v>
      </c>
      <c r="S67" s="186">
        <f t="shared" si="15"/>
        <v>0</v>
      </c>
      <c r="T67" s="186">
        <f t="shared" si="15"/>
        <v>0</v>
      </c>
      <c r="U67" s="186">
        <f t="shared" si="15"/>
        <v>0</v>
      </c>
      <c r="V67" s="186">
        <f t="shared" si="15"/>
        <v>0</v>
      </c>
      <c r="W67" s="186">
        <f t="shared" si="15"/>
        <v>0</v>
      </c>
      <c r="X67" s="186">
        <f t="shared" si="15"/>
        <v>0</v>
      </c>
      <c r="Y67" s="186">
        <f t="shared" si="15"/>
        <v>0</v>
      </c>
      <c r="Z67" s="186">
        <f t="shared" si="15"/>
        <v>0</v>
      </c>
      <c r="AA67" s="187">
        <f t="shared" si="15"/>
        <v>0</v>
      </c>
      <c r="AB67" s="193">
        <f t="shared" ref="AB67:AB76" si="16">IF(($B67-AB$66)&gt;=0,$D67,0)</f>
        <v>0</v>
      </c>
      <c r="AC67" s="186">
        <f t="shared" ref="AC67:AL67" si="17">IF(($B67-AC$66)&gt;=0,$D67,0)</f>
        <v>0</v>
      </c>
      <c r="AD67" s="186">
        <f t="shared" si="17"/>
        <v>0</v>
      </c>
      <c r="AE67" s="186">
        <f t="shared" si="17"/>
        <v>0</v>
      </c>
      <c r="AF67" s="186">
        <f t="shared" si="17"/>
        <v>0</v>
      </c>
      <c r="AG67" s="186">
        <f t="shared" si="17"/>
        <v>0</v>
      </c>
      <c r="AH67" s="186">
        <f t="shared" si="17"/>
        <v>0</v>
      </c>
      <c r="AI67" s="186">
        <f t="shared" si="17"/>
        <v>0</v>
      </c>
      <c r="AJ67" s="186">
        <f t="shared" si="17"/>
        <v>0</v>
      </c>
      <c r="AK67" s="186">
        <f t="shared" si="17"/>
        <v>0</v>
      </c>
      <c r="AL67" s="194">
        <f t="shared" si="17"/>
        <v>0</v>
      </c>
      <c r="AM67" s="185">
        <f>IF(($B67-AM$66)&gt;=0,$D67*($B67-AM$66),0)</f>
        <v>0</v>
      </c>
      <c r="AN67" s="186">
        <f t="shared" ref="AN67:AW67" si="18">IF(($B67-AN$66)&gt;=0,$D67*($B67-AN$66),0)</f>
        <v>0</v>
      </c>
      <c r="AO67" s="186">
        <f t="shared" si="18"/>
        <v>0</v>
      </c>
      <c r="AP67" s="186">
        <f t="shared" si="18"/>
        <v>0</v>
      </c>
      <c r="AQ67" s="186">
        <f t="shared" si="18"/>
        <v>0</v>
      </c>
      <c r="AR67" s="186">
        <f t="shared" si="18"/>
        <v>0</v>
      </c>
      <c r="AS67" s="186">
        <f t="shared" si="18"/>
        <v>0</v>
      </c>
      <c r="AT67" s="186">
        <f t="shared" si="18"/>
        <v>0</v>
      </c>
      <c r="AU67" s="186">
        <f t="shared" si="18"/>
        <v>0</v>
      </c>
      <c r="AV67" s="186">
        <f t="shared" si="18"/>
        <v>0</v>
      </c>
      <c r="AW67" s="187">
        <f t="shared" si="18"/>
        <v>0</v>
      </c>
      <c r="AX67" s="193">
        <f>IF(($B67-AX$66)&gt;=0,$E67,0)</f>
        <v>0</v>
      </c>
      <c r="AY67" s="186">
        <f t="shared" ref="AY67:BH67" si="19">IF(($B67-AY$66)&gt;=0,$E67,0)</f>
        <v>0</v>
      </c>
      <c r="AZ67" s="186">
        <f t="shared" si="19"/>
        <v>0</v>
      </c>
      <c r="BA67" s="186">
        <f t="shared" si="19"/>
        <v>0</v>
      </c>
      <c r="BB67" s="186">
        <f t="shared" si="19"/>
        <v>0</v>
      </c>
      <c r="BC67" s="186">
        <f t="shared" si="19"/>
        <v>0</v>
      </c>
      <c r="BD67" s="186">
        <f t="shared" si="19"/>
        <v>0</v>
      </c>
      <c r="BE67" s="186">
        <f t="shared" si="19"/>
        <v>0</v>
      </c>
      <c r="BF67" s="186">
        <f t="shared" si="19"/>
        <v>0</v>
      </c>
      <c r="BG67" s="186">
        <f t="shared" si="19"/>
        <v>0</v>
      </c>
      <c r="BH67" s="194">
        <f t="shared" si="19"/>
        <v>0</v>
      </c>
      <c r="BI67" s="185">
        <f>IF(($B67-BI$66)&gt;=0,$E67*($B67-BI$66),0)</f>
        <v>0</v>
      </c>
      <c r="BJ67" s="186">
        <f t="shared" ref="BJ67:BS67" si="20">IF(($B67-BJ$66)&gt;=0,$E67*($B67-BJ$66),0)</f>
        <v>0</v>
      </c>
      <c r="BK67" s="186">
        <f t="shared" si="20"/>
        <v>0</v>
      </c>
      <c r="BL67" s="186">
        <f t="shared" si="20"/>
        <v>0</v>
      </c>
      <c r="BM67" s="186">
        <f t="shared" si="20"/>
        <v>0</v>
      </c>
      <c r="BN67" s="186">
        <f t="shared" si="20"/>
        <v>0</v>
      </c>
      <c r="BO67" s="186">
        <f t="shared" si="20"/>
        <v>0</v>
      </c>
      <c r="BP67" s="186">
        <f t="shared" si="20"/>
        <v>0</v>
      </c>
      <c r="BQ67" s="186">
        <f t="shared" si="20"/>
        <v>0</v>
      </c>
      <c r="BR67" s="186">
        <f t="shared" si="20"/>
        <v>0</v>
      </c>
      <c r="BS67" s="187">
        <f t="shared" si="20"/>
        <v>0</v>
      </c>
    </row>
    <row r="68" spans="1:71" x14ac:dyDescent="0.2">
      <c r="A68" s="153" t="s">
        <v>76</v>
      </c>
      <c r="B68" s="106">
        <f t="shared" ref="B68:B76" si="21">B14</f>
        <v>0</v>
      </c>
      <c r="C68" s="98">
        <f t="shared" ref="C68:C76" si="22">SUM(B52:D52)</f>
        <v>0</v>
      </c>
      <c r="D68" s="98">
        <f t="shared" si="11"/>
        <v>0</v>
      </c>
      <c r="E68" s="154">
        <f t="shared" si="12"/>
        <v>0</v>
      </c>
      <c r="F68" s="195">
        <f t="shared" si="13"/>
        <v>0</v>
      </c>
      <c r="G68" s="97">
        <f t="shared" si="13"/>
        <v>0</v>
      </c>
      <c r="H68" s="97">
        <f t="shared" si="13"/>
        <v>0</v>
      </c>
      <c r="I68" s="97">
        <f t="shared" si="13"/>
        <v>0</v>
      </c>
      <c r="J68" s="97">
        <f t="shared" si="13"/>
        <v>0</v>
      </c>
      <c r="K68" s="97">
        <f t="shared" si="13"/>
        <v>0</v>
      </c>
      <c r="L68" s="97">
        <f t="shared" si="13"/>
        <v>0</v>
      </c>
      <c r="M68" s="97">
        <f t="shared" si="13"/>
        <v>0</v>
      </c>
      <c r="N68" s="97">
        <f t="shared" si="13"/>
        <v>0</v>
      </c>
      <c r="O68" s="97">
        <f t="shared" si="13"/>
        <v>0</v>
      </c>
      <c r="P68" s="196">
        <f t="shared" si="13"/>
        <v>0</v>
      </c>
      <c r="Q68" s="188">
        <f t="shared" si="14"/>
        <v>0</v>
      </c>
      <c r="R68" s="97">
        <f t="shared" ref="R68:AA76" si="23">IF(($B68-R$66)&gt;=0,$C68*($B68-R$66),0)</f>
        <v>0</v>
      </c>
      <c r="S68" s="97">
        <f t="shared" si="23"/>
        <v>0</v>
      </c>
      <c r="T68" s="97">
        <f t="shared" si="23"/>
        <v>0</v>
      </c>
      <c r="U68" s="97">
        <f t="shared" si="23"/>
        <v>0</v>
      </c>
      <c r="V68" s="97">
        <f t="shared" si="23"/>
        <v>0</v>
      </c>
      <c r="W68" s="97">
        <f t="shared" si="23"/>
        <v>0</v>
      </c>
      <c r="X68" s="97">
        <f t="shared" si="23"/>
        <v>0</v>
      </c>
      <c r="Y68" s="97">
        <f t="shared" si="23"/>
        <v>0</v>
      </c>
      <c r="Z68" s="97">
        <f t="shared" si="23"/>
        <v>0</v>
      </c>
      <c r="AA68" s="189">
        <f t="shared" si="23"/>
        <v>0</v>
      </c>
      <c r="AB68" s="195">
        <f t="shared" si="16"/>
        <v>0</v>
      </c>
      <c r="AC68" s="97">
        <f t="shared" ref="AC68:AL76" si="24">IF(($B68-AC$66)&gt;=0,$D68,0)</f>
        <v>0</v>
      </c>
      <c r="AD68" s="97">
        <f t="shared" si="24"/>
        <v>0</v>
      </c>
      <c r="AE68" s="97">
        <f t="shared" si="24"/>
        <v>0</v>
      </c>
      <c r="AF68" s="97">
        <f t="shared" si="24"/>
        <v>0</v>
      </c>
      <c r="AG68" s="97">
        <f t="shared" si="24"/>
        <v>0</v>
      </c>
      <c r="AH68" s="97">
        <f t="shared" si="24"/>
        <v>0</v>
      </c>
      <c r="AI68" s="97">
        <f t="shared" si="24"/>
        <v>0</v>
      </c>
      <c r="AJ68" s="97">
        <f t="shared" si="24"/>
        <v>0</v>
      </c>
      <c r="AK68" s="97">
        <f t="shared" si="24"/>
        <v>0</v>
      </c>
      <c r="AL68" s="196">
        <f t="shared" si="24"/>
        <v>0</v>
      </c>
      <c r="AM68" s="188">
        <f t="shared" ref="AM68:AW76" si="25">IF(($B68-AM$66)&gt;=0,$D68*($B68-AM$66),0)</f>
        <v>0</v>
      </c>
      <c r="AN68" s="97">
        <f t="shared" si="25"/>
        <v>0</v>
      </c>
      <c r="AO68" s="97">
        <f t="shared" si="25"/>
        <v>0</v>
      </c>
      <c r="AP68" s="97">
        <f t="shared" si="25"/>
        <v>0</v>
      </c>
      <c r="AQ68" s="97">
        <f t="shared" si="25"/>
        <v>0</v>
      </c>
      <c r="AR68" s="97">
        <f t="shared" si="25"/>
        <v>0</v>
      </c>
      <c r="AS68" s="97">
        <f t="shared" si="25"/>
        <v>0</v>
      </c>
      <c r="AT68" s="97">
        <f t="shared" si="25"/>
        <v>0</v>
      </c>
      <c r="AU68" s="97">
        <f t="shared" si="25"/>
        <v>0</v>
      </c>
      <c r="AV68" s="97">
        <f t="shared" si="25"/>
        <v>0</v>
      </c>
      <c r="AW68" s="189">
        <f t="shared" si="25"/>
        <v>0</v>
      </c>
      <c r="AX68" s="195">
        <f t="shared" ref="AX68:BH76" si="26">IF(($B68-AX$66)&gt;=0,$E68,0)</f>
        <v>0</v>
      </c>
      <c r="AY68" s="97">
        <f t="shared" si="26"/>
        <v>0</v>
      </c>
      <c r="AZ68" s="97">
        <f t="shared" si="26"/>
        <v>0</v>
      </c>
      <c r="BA68" s="97">
        <f t="shared" si="26"/>
        <v>0</v>
      </c>
      <c r="BB68" s="97">
        <f t="shared" si="26"/>
        <v>0</v>
      </c>
      <c r="BC68" s="97">
        <f t="shared" si="26"/>
        <v>0</v>
      </c>
      <c r="BD68" s="97">
        <f t="shared" si="26"/>
        <v>0</v>
      </c>
      <c r="BE68" s="97">
        <f t="shared" si="26"/>
        <v>0</v>
      </c>
      <c r="BF68" s="97">
        <f t="shared" si="26"/>
        <v>0</v>
      </c>
      <c r="BG68" s="97">
        <f t="shared" si="26"/>
        <v>0</v>
      </c>
      <c r="BH68" s="196">
        <f t="shared" si="26"/>
        <v>0</v>
      </c>
      <c r="BI68" s="188">
        <f t="shared" ref="BI68:BS76" si="27">IF(($B68-BI$66)&gt;=0,$E68*($B68-BI$66),0)</f>
        <v>0</v>
      </c>
      <c r="BJ68" s="97">
        <f t="shared" si="27"/>
        <v>0</v>
      </c>
      <c r="BK68" s="97">
        <f t="shared" si="27"/>
        <v>0</v>
      </c>
      <c r="BL68" s="97">
        <f t="shared" si="27"/>
        <v>0</v>
      </c>
      <c r="BM68" s="97">
        <f t="shared" si="27"/>
        <v>0</v>
      </c>
      <c r="BN68" s="97">
        <f t="shared" si="27"/>
        <v>0</v>
      </c>
      <c r="BO68" s="97">
        <f t="shared" si="27"/>
        <v>0</v>
      </c>
      <c r="BP68" s="97">
        <f t="shared" si="27"/>
        <v>0</v>
      </c>
      <c r="BQ68" s="97">
        <f t="shared" si="27"/>
        <v>0</v>
      </c>
      <c r="BR68" s="97">
        <f t="shared" si="27"/>
        <v>0</v>
      </c>
      <c r="BS68" s="189">
        <f t="shared" si="27"/>
        <v>0</v>
      </c>
    </row>
    <row r="69" spans="1:71" x14ac:dyDescent="0.2">
      <c r="A69" s="153" t="s">
        <v>77</v>
      </c>
      <c r="B69" s="106">
        <f t="shared" si="21"/>
        <v>0</v>
      </c>
      <c r="C69" s="98">
        <f t="shared" si="22"/>
        <v>0</v>
      </c>
      <c r="D69" s="98">
        <f t="shared" si="11"/>
        <v>0</v>
      </c>
      <c r="E69" s="154">
        <f t="shared" si="12"/>
        <v>0</v>
      </c>
      <c r="F69" s="195">
        <f t="shared" si="13"/>
        <v>0</v>
      </c>
      <c r="G69" s="97">
        <f t="shared" si="13"/>
        <v>0</v>
      </c>
      <c r="H69" s="97">
        <f t="shared" si="13"/>
        <v>0</v>
      </c>
      <c r="I69" s="97">
        <f t="shared" si="13"/>
        <v>0</v>
      </c>
      <c r="J69" s="97">
        <f t="shared" si="13"/>
        <v>0</v>
      </c>
      <c r="K69" s="97">
        <f t="shared" si="13"/>
        <v>0</v>
      </c>
      <c r="L69" s="97">
        <f t="shared" si="13"/>
        <v>0</v>
      </c>
      <c r="M69" s="97">
        <f t="shared" si="13"/>
        <v>0</v>
      </c>
      <c r="N69" s="97">
        <f t="shared" si="13"/>
        <v>0</v>
      </c>
      <c r="O69" s="97">
        <f t="shared" si="13"/>
        <v>0</v>
      </c>
      <c r="P69" s="196">
        <f t="shared" si="13"/>
        <v>0</v>
      </c>
      <c r="Q69" s="188">
        <f t="shared" si="14"/>
        <v>0</v>
      </c>
      <c r="R69" s="97">
        <f t="shared" si="23"/>
        <v>0</v>
      </c>
      <c r="S69" s="97">
        <f t="shared" si="23"/>
        <v>0</v>
      </c>
      <c r="T69" s="97">
        <f t="shared" si="23"/>
        <v>0</v>
      </c>
      <c r="U69" s="97">
        <f t="shared" si="23"/>
        <v>0</v>
      </c>
      <c r="V69" s="97">
        <f t="shared" si="23"/>
        <v>0</v>
      </c>
      <c r="W69" s="97">
        <f t="shared" si="23"/>
        <v>0</v>
      </c>
      <c r="X69" s="97">
        <f t="shared" si="23"/>
        <v>0</v>
      </c>
      <c r="Y69" s="97">
        <f t="shared" si="23"/>
        <v>0</v>
      </c>
      <c r="Z69" s="97">
        <f t="shared" si="23"/>
        <v>0</v>
      </c>
      <c r="AA69" s="189">
        <f t="shared" si="23"/>
        <v>0</v>
      </c>
      <c r="AB69" s="195">
        <f t="shared" si="16"/>
        <v>0</v>
      </c>
      <c r="AC69" s="97">
        <f t="shared" si="24"/>
        <v>0</v>
      </c>
      <c r="AD69" s="97">
        <f t="shared" si="24"/>
        <v>0</v>
      </c>
      <c r="AE69" s="97">
        <f t="shared" si="24"/>
        <v>0</v>
      </c>
      <c r="AF69" s="97">
        <f t="shared" si="24"/>
        <v>0</v>
      </c>
      <c r="AG69" s="97">
        <f t="shared" si="24"/>
        <v>0</v>
      </c>
      <c r="AH69" s="97">
        <f t="shared" si="24"/>
        <v>0</v>
      </c>
      <c r="AI69" s="97">
        <f t="shared" si="24"/>
        <v>0</v>
      </c>
      <c r="AJ69" s="97">
        <f t="shared" si="24"/>
        <v>0</v>
      </c>
      <c r="AK69" s="97">
        <f t="shared" si="24"/>
        <v>0</v>
      </c>
      <c r="AL69" s="196">
        <f t="shared" si="24"/>
        <v>0</v>
      </c>
      <c r="AM69" s="188">
        <f t="shared" si="25"/>
        <v>0</v>
      </c>
      <c r="AN69" s="97">
        <f t="shared" si="25"/>
        <v>0</v>
      </c>
      <c r="AO69" s="97">
        <f t="shared" si="25"/>
        <v>0</v>
      </c>
      <c r="AP69" s="97">
        <f t="shared" si="25"/>
        <v>0</v>
      </c>
      <c r="AQ69" s="97">
        <f t="shared" si="25"/>
        <v>0</v>
      </c>
      <c r="AR69" s="97">
        <f t="shared" si="25"/>
        <v>0</v>
      </c>
      <c r="AS69" s="97">
        <f t="shared" si="25"/>
        <v>0</v>
      </c>
      <c r="AT69" s="97">
        <f t="shared" si="25"/>
        <v>0</v>
      </c>
      <c r="AU69" s="97">
        <f t="shared" si="25"/>
        <v>0</v>
      </c>
      <c r="AV69" s="97">
        <f t="shared" si="25"/>
        <v>0</v>
      </c>
      <c r="AW69" s="189">
        <f t="shared" si="25"/>
        <v>0</v>
      </c>
      <c r="AX69" s="195">
        <f t="shared" si="26"/>
        <v>0</v>
      </c>
      <c r="AY69" s="97">
        <f t="shared" si="26"/>
        <v>0</v>
      </c>
      <c r="AZ69" s="97">
        <f t="shared" si="26"/>
        <v>0</v>
      </c>
      <c r="BA69" s="97">
        <f t="shared" si="26"/>
        <v>0</v>
      </c>
      <c r="BB69" s="97">
        <f t="shared" si="26"/>
        <v>0</v>
      </c>
      <c r="BC69" s="97">
        <f t="shared" si="26"/>
        <v>0</v>
      </c>
      <c r="BD69" s="97">
        <f t="shared" si="26"/>
        <v>0</v>
      </c>
      <c r="BE69" s="97">
        <f t="shared" si="26"/>
        <v>0</v>
      </c>
      <c r="BF69" s="97">
        <f t="shared" si="26"/>
        <v>0</v>
      </c>
      <c r="BG69" s="97">
        <f t="shared" si="26"/>
        <v>0</v>
      </c>
      <c r="BH69" s="196">
        <f t="shared" si="26"/>
        <v>0</v>
      </c>
      <c r="BI69" s="188">
        <f t="shared" si="27"/>
        <v>0</v>
      </c>
      <c r="BJ69" s="97">
        <f t="shared" si="27"/>
        <v>0</v>
      </c>
      <c r="BK69" s="97">
        <f t="shared" si="27"/>
        <v>0</v>
      </c>
      <c r="BL69" s="97">
        <f t="shared" si="27"/>
        <v>0</v>
      </c>
      <c r="BM69" s="97">
        <f t="shared" si="27"/>
        <v>0</v>
      </c>
      <c r="BN69" s="97">
        <f t="shared" si="27"/>
        <v>0</v>
      </c>
      <c r="BO69" s="97">
        <f t="shared" si="27"/>
        <v>0</v>
      </c>
      <c r="BP69" s="97">
        <f t="shared" si="27"/>
        <v>0</v>
      </c>
      <c r="BQ69" s="97">
        <f t="shared" si="27"/>
        <v>0</v>
      </c>
      <c r="BR69" s="97">
        <f t="shared" si="27"/>
        <v>0</v>
      </c>
      <c r="BS69" s="189">
        <f t="shared" si="27"/>
        <v>0</v>
      </c>
    </row>
    <row r="70" spans="1:71" x14ac:dyDescent="0.2">
      <c r="A70" s="153" t="s">
        <v>78</v>
      </c>
      <c r="B70" s="106">
        <f t="shared" si="21"/>
        <v>0</v>
      </c>
      <c r="C70" s="98">
        <f t="shared" si="22"/>
        <v>0</v>
      </c>
      <c r="D70" s="98">
        <f t="shared" si="11"/>
        <v>0</v>
      </c>
      <c r="E70" s="154">
        <f t="shared" si="12"/>
        <v>0</v>
      </c>
      <c r="F70" s="195">
        <f t="shared" si="13"/>
        <v>0</v>
      </c>
      <c r="G70" s="97">
        <f t="shared" si="13"/>
        <v>0</v>
      </c>
      <c r="H70" s="97">
        <f t="shared" si="13"/>
        <v>0</v>
      </c>
      <c r="I70" s="97">
        <f t="shared" si="13"/>
        <v>0</v>
      </c>
      <c r="J70" s="97">
        <f t="shared" si="13"/>
        <v>0</v>
      </c>
      <c r="K70" s="97">
        <f t="shared" si="13"/>
        <v>0</v>
      </c>
      <c r="L70" s="97">
        <f t="shared" si="13"/>
        <v>0</v>
      </c>
      <c r="M70" s="97">
        <f t="shared" si="13"/>
        <v>0</v>
      </c>
      <c r="N70" s="97">
        <f t="shared" si="13"/>
        <v>0</v>
      </c>
      <c r="O70" s="97">
        <f t="shared" si="13"/>
        <v>0</v>
      </c>
      <c r="P70" s="196">
        <f t="shared" si="13"/>
        <v>0</v>
      </c>
      <c r="Q70" s="188">
        <f t="shared" si="14"/>
        <v>0</v>
      </c>
      <c r="R70" s="97">
        <f t="shared" si="23"/>
        <v>0</v>
      </c>
      <c r="S70" s="97">
        <f t="shared" si="23"/>
        <v>0</v>
      </c>
      <c r="T70" s="97">
        <f t="shared" si="23"/>
        <v>0</v>
      </c>
      <c r="U70" s="97">
        <f t="shared" si="23"/>
        <v>0</v>
      </c>
      <c r="V70" s="97">
        <f t="shared" si="23"/>
        <v>0</v>
      </c>
      <c r="W70" s="97">
        <f t="shared" si="23"/>
        <v>0</v>
      </c>
      <c r="X70" s="97">
        <f t="shared" si="23"/>
        <v>0</v>
      </c>
      <c r="Y70" s="97">
        <f t="shared" si="23"/>
        <v>0</v>
      </c>
      <c r="Z70" s="97">
        <f t="shared" si="23"/>
        <v>0</v>
      </c>
      <c r="AA70" s="189">
        <f t="shared" si="23"/>
        <v>0</v>
      </c>
      <c r="AB70" s="195">
        <f t="shared" si="16"/>
        <v>0</v>
      </c>
      <c r="AC70" s="97">
        <f t="shared" si="24"/>
        <v>0</v>
      </c>
      <c r="AD70" s="97">
        <f t="shared" si="24"/>
        <v>0</v>
      </c>
      <c r="AE70" s="97">
        <f t="shared" si="24"/>
        <v>0</v>
      </c>
      <c r="AF70" s="97">
        <f t="shared" si="24"/>
        <v>0</v>
      </c>
      <c r="AG70" s="97">
        <f t="shared" si="24"/>
        <v>0</v>
      </c>
      <c r="AH70" s="97">
        <f t="shared" si="24"/>
        <v>0</v>
      </c>
      <c r="AI70" s="97">
        <f t="shared" si="24"/>
        <v>0</v>
      </c>
      <c r="AJ70" s="97">
        <f t="shared" si="24"/>
        <v>0</v>
      </c>
      <c r="AK70" s="97">
        <f t="shared" si="24"/>
        <v>0</v>
      </c>
      <c r="AL70" s="196">
        <f t="shared" si="24"/>
        <v>0</v>
      </c>
      <c r="AM70" s="188">
        <f t="shared" si="25"/>
        <v>0</v>
      </c>
      <c r="AN70" s="97">
        <f t="shared" si="25"/>
        <v>0</v>
      </c>
      <c r="AO70" s="97">
        <f t="shared" si="25"/>
        <v>0</v>
      </c>
      <c r="AP70" s="97">
        <f t="shared" si="25"/>
        <v>0</v>
      </c>
      <c r="AQ70" s="97">
        <f t="shared" si="25"/>
        <v>0</v>
      </c>
      <c r="AR70" s="97">
        <f t="shared" si="25"/>
        <v>0</v>
      </c>
      <c r="AS70" s="97">
        <f t="shared" si="25"/>
        <v>0</v>
      </c>
      <c r="AT70" s="97">
        <f t="shared" si="25"/>
        <v>0</v>
      </c>
      <c r="AU70" s="97">
        <f t="shared" si="25"/>
        <v>0</v>
      </c>
      <c r="AV70" s="97">
        <f t="shared" si="25"/>
        <v>0</v>
      </c>
      <c r="AW70" s="189">
        <f t="shared" si="25"/>
        <v>0</v>
      </c>
      <c r="AX70" s="195">
        <f t="shared" si="26"/>
        <v>0</v>
      </c>
      <c r="AY70" s="97">
        <f t="shared" si="26"/>
        <v>0</v>
      </c>
      <c r="AZ70" s="97">
        <f t="shared" si="26"/>
        <v>0</v>
      </c>
      <c r="BA70" s="97">
        <f t="shared" si="26"/>
        <v>0</v>
      </c>
      <c r="BB70" s="97">
        <f t="shared" si="26"/>
        <v>0</v>
      </c>
      <c r="BC70" s="97">
        <f t="shared" si="26"/>
        <v>0</v>
      </c>
      <c r="BD70" s="97">
        <f t="shared" si="26"/>
        <v>0</v>
      </c>
      <c r="BE70" s="97">
        <f t="shared" si="26"/>
        <v>0</v>
      </c>
      <c r="BF70" s="97">
        <f t="shared" si="26"/>
        <v>0</v>
      </c>
      <c r="BG70" s="97">
        <f t="shared" si="26"/>
        <v>0</v>
      </c>
      <c r="BH70" s="196">
        <f t="shared" si="26"/>
        <v>0</v>
      </c>
      <c r="BI70" s="188">
        <f t="shared" si="27"/>
        <v>0</v>
      </c>
      <c r="BJ70" s="97">
        <f t="shared" si="27"/>
        <v>0</v>
      </c>
      <c r="BK70" s="97">
        <f t="shared" si="27"/>
        <v>0</v>
      </c>
      <c r="BL70" s="97">
        <f t="shared" si="27"/>
        <v>0</v>
      </c>
      <c r="BM70" s="97">
        <f t="shared" si="27"/>
        <v>0</v>
      </c>
      <c r="BN70" s="97">
        <f t="shared" si="27"/>
        <v>0</v>
      </c>
      <c r="BO70" s="97">
        <f t="shared" si="27"/>
        <v>0</v>
      </c>
      <c r="BP70" s="97">
        <f t="shared" si="27"/>
        <v>0</v>
      </c>
      <c r="BQ70" s="97">
        <f t="shared" si="27"/>
        <v>0</v>
      </c>
      <c r="BR70" s="97">
        <f t="shared" si="27"/>
        <v>0</v>
      </c>
      <c r="BS70" s="189">
        <f t="shared" si="27"/>
        <v>0</v>
      </c>
    </row>
    <row r="71" spans="1:71" x14ac:dyDescent="0.2">
      <c r="A71" s="153" t="s">
        <v>79</v>
      </c>
      <c r="B71" s="106">
        <f t="shared" si="21"/>
        <v>0</v>
      </c>
      <c r="C71" s="98">
        <f t="shared" si="22"/>
        <v>0</v>
      </c>
      <c r="D71" s="98">
        <f t="shared" si="11"/>
        <v>0</v>
      </c>
      <c r="E71" s="154">
        <f t="shared" si="12"/>
        <v>0</v>
      </c>
      <c r="F71" s="195">
        <f t="shared" si="13"/>
        <v>0</v>
      </c>
      <c r="G71" s="97">
        <f t="shared" si="13"/>
        <v>0</v>
      </c>
      <c r="H71" s="97">
        <f t="shared" si="13"/>
        <v>0</v>
      </c>
      <c r="I71" s="97">
        <f t="shared" si="13"/>
        <v>0</v>
      </c>
      <c r="J71" s="97">
        <f t="shared" si="13"/>
        <v>0</v>
      </c>
      <c r="K71" s="97">
        <f t="shared" si="13"/>
        <v>0</v>
      </c>
      <c r="L71" s="97">
        <f t="shared" si="13"/>
        <v>0</v>
      </c>
      <c r="M71" s="97">
        <f t="shared" si="13"/>
        <v>0</v>
      </c>
      <c r="N71" s="97">
        <f t="shared" si="13"/>
        <v>0</v>
      </c>
      <c r="O71" s="97">
        <f t="shared" si="13"/>
        <v>0</v>
      </c>
      <c r="P71" s="196">
        <f t="shared" si="13"/>
        <v>0</v>
      </c>
      <c r="Q71" s="188">
        <f t="shared" si="14"/>
        <v>0</v>
      </c>
      <c r="R71" s="97">
        <f t="shared" si="23"/>
        <v>0</v>
      </c>
      <c r="S71" s="97">
        <f t="shared" si="23"/>
        <v>0</v>
      </c>
      <c r="T71" s="97">
        <f t="shared" si="23"/>
        <v>0</v>
      </c>
      <c r="U71" s="97">
        <f t="shared" si="23"/>
        <v>0</v>
      </c>
      <c r="V71" s="97">
        <f t="shared" si="23"/>
        <v>0</v>
      </c>
      <c r="W71" s="97">
        <f t="shared" si="23"/>
        <v>0</v>
      </c>
      <c r="X71" s="97">
        <f t="shared" si="23"/>
        <v>0</v>
      </c>
      <c r="Y71" s="97">
        <f t="shared" si="23"/>
        <v>0</v>
      </c>
      <c r="Z71" s="97">
        <f t="shared" si="23"/>
        <v>0</v>
      </c>
      <c r="AA71" s="189">
        <f t="shared" si="23"/>
        <v>0</v>
      </c>
      <c r="AB71" s="195">
        <f t="shared" si="16"/>
        <v>0</v>
      </c>
      <c r="AC71" s="97">
        <f t="shared" si="24"/>
        <v>0</v>
      </c>
      <c r="AD71" s="97">
        <f t="shared" si="24"/>
        <v>0</v>
      </c>
      <c r="AE71" s="97">
        <f t="shared" si="24"/>
        <v>0</v>
      </c>
      <c r="AF71" s="97">
        <f t="shared" si="24"/>
        <v>0</v>
      </c>
      <c r="AG71" s="97">
        <f t="shared" si="24"/>
        <v>0</v>
      </c>
      <c r="AH71" s="97">
        <f t="shared" si="24"/>
        <v>0</v>
      </c>
      <c r="AI71" s="97">
        <f t="shared" si="24"/>
        <v>0</v>
      </c>
      <c r="AJ71" s="97">
        <f t="shared" si="24"/>
        <v>0</v>
      </c>
      <c r="AK71" s="97">
        <f t="shared" si="24"/>
        <v>0</v>
      </c>
      <c r="AL71" s="196">
        <f t="shared" si="24"/>
        <v>0</v>
      </c>
      <c r="AM71" s="188">
        <f t="shared" si="25"/>
        <v>0</v>
      </c>
      <c r="AN71" s="97">
        <f t="shared" si="25"/>
        <v>0</v>
      </c>
      <c r="AO71" s="97">
        <f t="shared" si="25"/>
        <v>0</v>
      </c>
      <c r="AP71" s="97">
        <f t="shared" si="25"/>
        <v>0</v>
      </c>
      <c r="AQ71" s="97">
        <f t="shared" si="25"/>
        <v>0</v>
      </c>
      <c r="AR71" s="97">
        <f t="shared" si="25"/>
        <v>0</v>
      </c>
      <c r="AS71" s="97">
        <f t="shared" si="25"/>
        <v>0</v>
      </c>
      <c r="AT71" s="97">
        <f t="shared" si="25"/>
        <v>0</v>
      </c>
      <c r="AU71" s="97">
        <f t="shared" si="25"/>
        <v>0</v>
      </c>
      <c r="AV71" s="97">
        <f t="shared" si="25"/>
        <v>0</v>
      </c>
      <c r="AW71" s="189">
        <f t="shared" si="25"/>
        <v>0</v>
      </c>
      <c r="AX71" s="195">
        <f t="shared" si="26"/>
        <v>0</v>
      </c>
      <c r="AY71" s="97">
        <f t="shared" si="26"/>
        <v>0</v>
      </c>
      <c r="AZ71" s="97">
        <f t="shared" si="26"/>
        <v>0</v>
      </c>
      <c r="BA71" s="97">
        <f t="shared" si="26"/>
        <v>0</v>
      </c>
      <c r="BB71" s="97">
        <f t="shared" si="26"/>
        <v>0</v>
      </c>
      <c r="BC71" s="97">
        <f t="shared" si="26"/>
        <v>0</v>
      </c>
      <c r="BD71" s="97">
        <f t="shared" si="26"/>
        <v>0</v>
      </c>
      <c r="BE71" s="97">
        <f t="shared" si="26"/>
        <v>0</v>
      </c>
      <c r="BF71" s="97">
        <f t="shared" si="26"/>
        <v>0</v>
      </c>
      <c r="BG71" s="97">
        <f t="shared" si="26"/>
        <v>0</v>
      </c>
      <c r="BH71" s="196">
        <f t="shared" si="26"/>
        <v>0</v>
      </c>
      <c r="BI71" s="188">
        <f t="shared" si="27"/>
        <v>0</v>
      </c>
      <c r="BJ71" s="97">
        <f t="shared" si="27"/>
        <v>0</v>
      </c>
      <c r="BK71" s="97">
        <f t="shared" si="27"/>
        <v>0</v>
      </c>
      <c r="BL71" s="97">
        <f t="shared" si="27"/>
        <v>0</v>
      </c>
      <c r="BM71" s="97">
        <f t="shared" si="27"/>
        <v>0</v>
      </c>
      <c r="BN71" s="97">
        <f t="shared" si="27"/>
        <v>0</v>
      </c>
      <c r="BO71" s="97">
        <f t="shared" si="27"/>
        <v>0</v>
      </c>
      <c r="BP71" s="97">
        <f t="shared" si="27"/>
        <v>0</v>
      </c>
      <c r="BQ71" s="97">
        <f t="shared" si="27"/>
        <v>0</v>
      </c>
      <c r="BR71" s="97">
        <f t="shared" si="27"/>
        <v>0</v>
      </c>
      <c r="BS71" s="189">
        <f t="shared" si="27"/>
        <v>0</v>
      </c>
    </row>
    <row r="72" spans="1:71" x14ac:dyDescent="0.2">
      <c r="A72" s="153" t="s">
        <v>80</v>
      </c>
      <c r="B72" s="106">
        <f t="shared" si="21"/>
        <v>0</v>
      </c>
      <c r="C72" s="98">
        <f t="shared" si="22"/>
        <v>0</v>
      </c>
      <c r="D72" s="98">
        <f t="shared" si="11"/>
        <v>0</v>
      </c>
      <c r="E72" s="154">
        <f t="shared" si="12"/>
        <v>0</v>
      </c>
      <c r="F72" s="195">
        <f t="shared" si="13"/>
        <v>0</v>
      </c>
      <c r="G72" s="97">
        <f t="shared" si="13"/>
        <v>0</v>
      </c>
      <c r="H72" s="97">
        <f t="shared" si="13"/>
        <v>0</v>
      </c>
      <c r="I72" s="97">
        <f t="shared" si="13"/>
        <v>0</v>
      </c>
      <c r="J72" s="97">
        <f t="shared" si="13"/>
        <v>0</v>
      </c>
      <c r="K72" s="97">
        <f t="shared" si="13"/>
        <v>0</v>
      </c>
      <c r="L72" s="97">
        <f t="shared" si="13"/>
        <v>0</v>
      </c>
      <c r="M72" s="97">
        <f t="shared" si="13"/>
        <v>0</v>
      </c>
      <c r="N72" s="97">
        <f t="shared" si="13"/>
        <v>0</v>
      </c>
      <c r="O72" s="97">
        <f t="shared" si="13"/>
        <v>0</v>
      </c>
      <c r="P72" s="196">
        <f t="shared" si="13"/>
        <v>0</v>
      </c>
      <c r="Q72" s="188">
        <f t="shared" si="14"/>
        <v>0</v>
      </c>
      <c r="R72" s="97">
        <f t="shared" si="23"/>
        <v>0</v>
      </c>
      <c r="S72" s="97">
        <f t="shared" si="23"/>
        <v>0</v>
      </c>
      <c r="T72" s="97">
        <f t="shared" si="23"/>
        <v>0</v>
      </c>
      <c r="U72" s="97">
        <f t="shared" si="23"/>
        <v>0</v>
      </c>
      <c r="V72" s="97">
        <f t="shared" si="23"/>
        <v>0</v>
      </c>
      <c r="W72" s="97">
        <f t="shared" si="23"/>
        <v>0</v>
      </c>
      <c r="X72" s="97">
        <f t="shared" si="23"/>
        <v>0</v>
      </c>
      <c r="Y72" s="97">
        <f t="shared" si="23"/>
        <v>0</v>
      </c>
      <c r="Z72" s="97">
        <f t="shared" si="23"/>
        <v>0</v>
      </c>
      <c r="AA72" s="189">
        <f t="shared" si="23"/>
        <v>0</v>
      </c>
      <c r="AB72" s="195">
        <f t="shared" si="16"/>
        <v>0</v>
      </c>
      <c r="AC72" s="97">
        <f t="shared" si="24"/>
        <v>0</v>
      </c>
      <c r="AD72" s="97">
        <f t="shared" si="24"/>
        <v>0</v>
      </c>
      <c r="AE72" s="97">
        <f t="shared" si="24"/>
        <v>0</v>
      </c>
      <c r="AF72" s="97">
        <f t="shared" si="24"/>
        <v>0</v>
      </c>
      <c r="AG72" s="97">
        <f t="shared" si="24"/>
        <v>0</v>
      </c>
      <c r="AH72" s="97">
        <f t="shared" si="24"/>
        <v>0</v>
      </c>
      <c r="AI72" s="97">
        <f t="shared" si="24"/>
        <v>0</v>
      </c>
      <c r="AJ72" s="97">
        <f t="shared" si="24"/>
        <v>0</v>
      </c>
      <c r="AK72" s="97">
        <f t="shared" si="24"/>
        <v>0</v>
      </c>
      <c r="AL72" s="196">
        <f t="shared" si="24"/>
        <v>0</v>
      </c>
      <c r="AM72" s="188">
        <f t="shared" si="25"/>
        <v>0</v>
      </c>
      <c r="AN72" s="97">
        <f t="shared" si="25"/>
        <v>0</v>
      </c>
      <c r="AO72" s="97">
        <f t="shared" si="25"/>
        <v>0</v>
      </c>
      <c r="AP72" s="97">
        <f t="shared" si="25"/>
        <v>0</v>
      </c>
      <c r="AQ72" s="97">
        <f t="shared" si="25"/>
        <v>0</v>
      </c>
      <c r="AR72" s="97">
        <f t="shared" si="25"/>
        <v>0</v>
      </c>
      <c r="AS72" s="97">
        <f t="shared" si="25"/>
        <v>0</v>
      </c>
      <c r="AT72" s="97">
        <f t="shared" si="25"/>
        <v>0</v>
      </c>
      <c r="AU72" s="97">
        <f t="shared" si="25"/>
        <v>0</v>
      </c>
      <c r="AV72" s="97">
        <f t="shared" si="25"/>
        <v>0</v>
      </c>
      <c r="AW72" s="189">
        <f t="shared" si="25"/>
        <v>0</v>
      </c>
      <c r="AX72" s="195">
        <f t="shared" si="26"/>
        <v>0</v>
      </c>
      <c r="AY72" s="97">
        <f t="shared" si="26"/>
        <v>0</v>
      </c>
      <c r="AZ72" s="97">
        <f t="shared" si="26"/>
        <v>0</v>
      </c>
      <c r="BA72" s="97">
        <f t="shared" si="26"/>
        <v>0</v>
      </c>
      <c r="BB72" s="97">
        <f t="shared" si="26"/>
        <v>0</v>
      </c>
      <c r="BC72" s="97">
        <f t="shared" si="26"/>
        <v>0</v>
      </c>
      <c r="BD72" s="97">
        <f t="shared" si="26"/>
        <v>0</v>
      </c>
      <c r="BE72" s="97">
        <f t="shared" si="26"/>
        <v>0</v>
      </c>
      <c r="BF72" s="97">
        <f t="shared" si="26"/>
        <v>0</v>
      </c>
      <c r="BG72" s="97">
        <f t="shared" si="26"/>
        <v>0</v>
      </c>
      <c r="BH72" s="196">
        <f t="shared" si="26"/>
        <v>0</v>
      </c>
      <c r="BI72" s="188">
        <f t="shared" si="27"/>
        <v>0</v>
      </c>
      <c r="BJ72" s="97">
        <f t="shared" si="27"/>
        <v>0</v>
      </c>
      <c r="BK72" s="97">
        <f t="shared" si="27"/>
        <v>0</v>
      </c>
      <c r="BL72" s="97">
        <f t="shared" si="27"/>
        <v>0</v>
      </c>
      <c r="BM72" s="97">
        <f t="shared" si="27"/>
        <v>0</v>
      </c>
      <c r="BN72" s="97">
        <f t="shared" si="27"/>
        <v>0</v>
      </c>
      <c r="BO72" s="97">
        <f t="shared" si="27"/>
        <v>0</v>
      </c>
      <c r="BP72" s="97">
        <f t="shared" si="27"/>
        <v>0</v>
      </c>
      <c r="BQ72" s="97">
        <f t="shared" si="27"/>
        <v>0</v>
      </c>
      <c r="BR72" s="97">
        <f t="shared" si="27"/>
        <v>0</v>
      </c>
      <c r="BS72" s="189">
        <f t="shared" si="27"/>
        <v>0</v>
      </c>
    </row>
    <row r="73" spans="1:71" x14ac:dyDescent="0.2">
      <c r="A73" s="153" t="s">
        <v>81</v>
      </c>
      <c r="B73" s="106">
        <f t="shared" si="21"/>
        <v>0</v>
      </c>
      <c r="C73" s="98">
        <f t="shared" si="22"/>
        <v>0</v>
      </c>
      <c r="D73" s="98">
        <f t="shared" si="11"/>
        <v>0</v>
      </c>
      <c r="E73" s="154">
        <f t="shared" si="12"/>
        <v>0</v>
      </c>
      <c r="F73" s="195">
        <f t="shared" si="13"/>
        <v>0</v>
      </c>
      <c r="G73" s="97">
        <f t="shared" si="13"/>
        <v>0</v>
      </c>
      <c r="H73" s="97">
        <f t="shared" si="13"/>
        <v>0</v>
      </c>
      <c r="I73" s="97">
        <f t="shared" si="13"/>
        <v>0</v>
      </c>
      <c r="J73" s="97">
        <f t="shared" si="13"/>
        <v>0</v>
      </c>
      <c r="K73" s="97">
        <f t="shared" si="13"/>
        <v>0</v>
      </c>
      <c r="L73" s="97">
        <f t="shared" si="13"/>
        <v>0</v>
      </c>
      <c r="M73" s="97">
        <f t="shared" si="13"/>
        <v>0</v>
      </c>
      <c r="N73" s="97">
        <f t="shared" si="13"/>
        <v>0</v>
      </c>
      <c r="O73" s="97">
        <f t="shared" si="13"/>
        <v>0</v>
      </c>
      <c r="P73" s="196">
        <f t="shared" si="13"/>
        <v>0</v>
      </c>
      <c r="Q73" s="188">
        <f t="shared" si="14"/>
        <v>0</v>
      </c>
      <c r="R73" s="97">
        <f t="shared" si="23"/>
        <v>0</v>
      </c>
      <c r="S73" s="97">
        <f t="shared" si="23"/>
        <v>0</v>
      </c>
      <c r="T73" s="97">
        <f t="shared" si="23"/>
        <v>0</v>
      </c>
      <c r="U73" s="97">
        <f t="shared" si="23"/>
        <v>0</v>
      </c>
      <c r="V73" s="97">
        <f t="shared" si="23"/>
        <v>0</v>
      </c>
      <c r="W73" s="97">
        <f t="shared" si="23"/>
        <v>0</v>
      </c>
      <c r="X73" s="97">
        <f t="shared" si="23"/>
        <v>0</v>
      </c>
      <c r="Y73" s="97">
        <f t="shared" si="23"/>
        <v>0</v>
      </c>
      <c r="Z73" s="97">
        <f t="shared" si="23"/>
        <v>0</v>
      </c>
      <c r="AA73" s="189">
        <f t="shared" si="23"/>
        <v>0</v>
      </c>
      <c r="AB73" s="195">
        <f t="shared" si="16"/>
        <v>0</v>
      </c>
      <c r="AC73" s="97">
        <f t="shared" si="24"/>
        <v>0</v>
      </c>
      <c r="AD73" s="97">
        <f t="shared" si="24"/>
        <v>0</v>
      </c>
      <c r="AE73" s="97">
        <f t="shared" si="24"/>
        <v>0</v>
      </c>
      <c r="AF73" s="97">
        <f t="shared" si="24"/>
        <v>0</v>
      </c>
      <c r="AG73" s="97">
        <f t="shared" si="24"/>
        <v>0</v>
      </c>
      <c r="AH73" s="97">
        <f t="shared" si="24"/>
        <v>0</v>
      </c>
      <c r="AI73" s="97">
        <f t="shared" si="24"/>
        <v>0</v>
      </c>
      <c r="AJ73" s="97">
        <f t="shared" si="24"/>
        <v>0</v>
      </c>
      <c r="AK73" s="97">
        <f t="shared" si="24"/>
        <v>0</v>
      </c>
      <c r="AL73" s="196">
        <f t="shared" si="24"/>
        <v>0</v>
      </c>
      <c r="AM73" s="188">
        <f t="shared" si="25"/>
        <v>0</v>
      </c>
      <c r="AN73" s="97">
        <f t="shared" si="25"/>
        <v>0</v>
      </c>
      <c r="AO73" s="97">
        <f t="shared" si="25"/>
        <v>0</v>
      </c>
      <c r="AP73" s="97">
        <f t="shared" si="25"/>
        <v>0</v>
      </c>
      <c r="AQ73" s="97">
        <f t="shared" si="25"/>
        <v>0</v>
      </c>
      <c r="AR73" s="97">
        <f t="shared" si="25"/>
        <v>0</v>
      </c>
      <c r="AS73" s="97">
        <f t="shared" si="25"/>
        <v>0</v>
      </c>
      <c r="AT73" s="97">
        <f t="shared" si="25"/>
        <v>0</v>
      </c>
      <c r="AU73" s="97">
        <f t="shared" si="25"/>
        <v>0</v>
      </c>
      <c r="AV73" s="97">
        <f t="shared" si="25"/>
        <v>0</v>
      </c>
      <c r="AW73" s="189">
        <f t="shared" si="25"/>
        <v>0</v>
      </c>
      <c r="AX73" s="195">
        <f t="shared" si="26"/>
        <v>0</v>
      </c>
      <c r="AY73" s="97">
        <f t="shared" si="26"/>
        <v>0</v>
      </c>
      <c r="AZ73" s="97">
        <f t="shared" si="26"/>
        <v>0</v>
      </c>
      <c r="BA73" s="97">
        <f t="shared" si="26"/>
        <v>0</v>
      </c>
      <c r="BB73" s="97">
        <f t="shared" si="26"/>
        <v>0</v>
      </c>
      <c r="BC73" s="97">
        <f t="shared" si="26"/>
        <v>0</v>
      </c>
      <c r="BD73" s="97">
        <f t="shared" si="26"/>
        <v>0</v>
      </c>
      <c r="BE73" s="97">
        <f t="shared" si="26"/>
        <v>0</v>
      </c>
      <c r="BF73" s="97">
        <f t="shared" si="26"/>
        <v>0</v>
      </c>
      <c r="BG73" s="97">
        <f t="shared" si="26"/>
        <v>0</v>
      </c>
      <c r="BH73" s="196">
        <f t="shared" si="26"/>
        <v>0</v>
      </c>
      <c r="BI73" s="188">
        <f t="shared" si="27"/>
        <v>0</v>
      </c>
      <c r="BJ73" s="97">
        <f t="shared" si="27"/>
        <v>0</v>
      </c>
      <c r="BK73" s="97">
        <f t="shared" si="27"/>
        <v>0</v>
      </c>
      <c r="BL73" s="97">
        <f t="shared" si="27"/>
        <v>0</v>
      </c>
      <c r="BM73" s="97">
        <f t="shared" si="27"/>
        <v>0</v>
      </c>
      <c r="BN73" s="97">
        <f t="shared" si="27"/>
        <v>0</v>
      </c>
      <c r="BO73" s="97">
        <f t="shared" si="27"/>
        <v>0</v>
      </c>
      <c r="BP73" s="97">
        <f t="shared" si="27"/>
        <v>0</v>
      </c>
      <c r="BQ73" s="97">
        <f t="shared" si="27"/>
        <v>0</v>
      </c>
      <c r="BR73" s="97">
        <f t="shared" si="27"/>
        <v>0</v>
      </c>
      <c r="BS73" s="189">
        <f t="shared" si="27"/>
        <v>0</v>
      </c>
    </row>
    <row r="74" spans="1:71" x14ac:dyDescent="0.2">
      <c r="A74" s="153" t="s">
        <v>82</v>
      </c>
      <c r="B74" s="106">
        <f t="shared" si="21"/>
        <v>0</v>
      </c>
      <c r="C74" s="98">
        <f t="shared" si="22"/>
        <v>0</v>
      </c>
      <c r="D74" s="98">
        <f t="shared" si="11"/>
        <v>0</v>
      </c>
      <c r="E74" s="154">
        <f t="shared" si="12"/>
        <v>0</v>
      </c>
      <c r="F74" s="195">
        <f t="shared" si="13"/>
        <v>0</v>
      </c>
      <c r="G74" s="97">
        <f t="shared" si="13"/>
        <v>0</v>
      </c>
      <c r="H74" s="97">
        <f t="shared" si="13"/>
        <v>0</v>
      </c>
      <c r="I74" s="97">
        <f t="shared" si="13"/>
        <v>0</v>
      </c>
      <c r="J74" s="97">
        <f t="shared" si="13"/>
        <v>0</v>
      </c>
      <c r="K74" s="97">
        <f t="shared" si="13"/>
        <v>0</v>
      </c>
      <c r="L74" s="97">
        <f t="shared" si="13"/>
        <v>0</v>
      </c>
      <c r="M74" s="97">
        <f t="shared" si="13"/>
        <v>0</v>
      </c>
      <c r="N74" s="97">
        <f t="shared" si="13"/>
        <v>0</v>
      </c>
      <c r="O74" s="97">
        <f t="shared" si="13"/>
        <v>0</v>
      </c>
      <c r="P74" s="196">
        <f t="shared" si="13"/>
        <v>0</v>
      </c>
      <c r="Q74" s="188">
        <f t="shared" si="14"/>
        <v>0</v>
      </c>
      <c r="R74" s="97">
        <f t="shared" si="23"/>
        <v>0</v>
      </c>
      <c r="S74" s="97">
        <f t="shared" si="23"/>
        <v>0</v>
      </c>
      <c r="T74" s="97">
        <f t="shared" si="23"/>
        <v>0</v>
      </c>
      <c r="U74" s="97">
        <f t="shared" si="23"/>
        <v>0</v>
      </c>
      <c r="V74" s="97">
        <f t="shared" si="23"/>
        <v>0</v>
      </c>
      <c r="W74" s="97">
        <f t="shared" si="23"/>
        <v>0</v>
      </c>
      <c r="X74" s="97">
        <f t="shared" si="23"/>
        <v>0</v>
      </c>
      <c r="Y74" s="97">
        <f t="shared" si="23"/>
        <v>0</v>
      </c>
      <c r="Z74" s="97">
        <f t="shared" si="23"/>
        <v>0</v>
      </c>
      <c r="AA74" s="189">
        <f t="shared" si="23"/>
        <v>0</v>
      </c>
      <c r="AB74" s="195">
        <f t="shared" si="16"/>
        <v>0</v>
      </c>
      <c r="AC74" s="97">
        <f t="shared" si="24"/>
        <v>0</v>
      </c>
      <c r="AD74" s="97">
        <f t="shared" si="24"/>
        <v>0</v>
      </c>
      <c r="AE74" s="97">
        <f t="shared" si="24"/>
        <v>0</v>
      </c>
      <c r="AF74" s="97">
        <f t="shared" si="24"/>
        <v>0</v>
      </c>
      <c r="AG74" s="97">
        <f t="shared" si="24"/>
        <v>0</v>
      </c>
      <c r="AH74" s="97">
        <f t="shared" si="24"/>
        <v>0</v>
      </c>
      <c r="AI74" s="97">
        <f t="shared" si="24"/>
        <v>0</v>
      </c>
      <c r="AJ74" s="97">
        <f t="shared" si="24"/>
        <v>0</v>
      </c>
      <c r="AK74" s="97">
        <f t="shared" si="24"/>
        <v>0</v>
      </c>
      <c r="AL74" s="196">
        <f t="shared" si="24"/>
        <v>0</v>
      </c>
      <c r="AM74" s="188">
        <f t="shared" si="25"/>
        <v>0</v>
      </c>
      <c r="AN74" s="97">
        <f t="shared" si="25"/>
        <v>0</v>
      </c>
      <c r="AO74" s="97">
        <f t="shared" si="25"/>
        <v>0</v>
      </c>
      <c r="AP74" s="97">
        <f t="shared" si="25"/>
        <v>0</v>
      </c>
      <c r="AQ74" s="97">
        <f t="shared" si="25"/>
        <v>0</v>
      </c>
      <c r="AR74" s="97">
        <f t="shared" si="25"/>
        <v>0</v>
      </c>
      <c r="AS74" s="97">
        <f t="shared" si="25"/>
        <v>0</v>
      </c>
      <c r="AT74" s="97">
        <f t="shared" si="25"/>
        <v>0</v>
      </c>
      <c r="AU74" s="97">
        <f t="shared" si="25"/>
        <v>0</v>
      </c>
      <c r="AV74" s="97">
        <f t="shared" si="25"/>
        <v>0</v>
      </c>
      <c r="AW74" s="189">
        <f t="shared" si="25"/>
        <v>0</v>
      </c>
      <c r="AX74" s="195">
        <f t="shared" si="26"/>
        <v>0</v>
      </c>
      <c r="AY74" s="97">
        <f t="shared" si="26"/>
        <v>0</v>
      </c>
      <c r="AZ74" s="97">
        <f t="shared" si="26"/>
        <v>0</v>
      </c>
      <c r="BA74" s="97">
        <f t="shared" si="26"/>
        <v>0</v>
      </c>
      <c r="BB74" s="97">
        <f t="shared" si="26"/>
        <v>0</v>
      </c>
      <c r="BC74" s="97">
        <f t="shared" si="26"/>
        <v>0</v>
      </c>
      <c r="BD74" s="97">
        <f t="shared" si="26"/>
        <v>0</v>
      </c>
      <c r="BE74" s="97">
        <f t="shared" si="26"/>
        <v>0</v>
      </c>
      <c r="BF74" s="97">
        <f t="shared" si="26"/>
        <v>0</v>
      </c>
      <c r="BG74" s="97">
        <f t="shared" si="26"/>
        <v>0</v>
      </c>
      <c r="BH74" s="196">
        <f t="shared" si="26"/>
        <v>0</v>
      </c>
      <c r="BI74" s="188">
        <f t="shared" si="27"/>
        <v>0</v>
      </c>
      <c r="BJ74" s="97">
        <f t="shared" si="27"/>
        <v>0</v>
      </c>
      <c r="BK74" s="97">
        <f t="shared" si="27"/>
        <v>0</v>
      </c>
      <c r="BL74" s="97">
        <f t="shared" si="27"/>
        <v>0</v>
      </c>
      <c r="BM74" s="97">
        <f t="shared" si="27"/>
        <v>0</v>
      </c>
      <c r="BN74" s="97">
        <f t="shared" si="27"/>
        <v>0</v>
      </c>
      <c r="BO74" s="97">
        <f t="shared" si="27"/>
        <v>0</v>
      </c>
      <c r="BP74" s="97">
        <f t="shared" si="27"/>
        <v>0</v>
      </c>
      <c r="BQ74" s="97">
        <f t="shared" si="27"/>
        <v>0</v>
      </c>
      <c r="BR74" s="97">
        <f t="shared" si="27"/>
        <v>0</v>
      </c>
      <c r="BS74" s="189">
        <f t="shared" si="27"/>
        <v>0</v>
      </c>
    </row>
    <row r="75" spans="1:71" x14ac:dyDescent="0.2">
      <c r="A75" s="153" t="s">
        <v>83</v>
      </c>
      <c r="B75" s="106">
        <f t="shared" si="21"/>
        <v>0</v>
      </c>
      <c r="C75" s="98">
        <f t="shared" si="22"/>
        <v>0</v>
      </c>
      <c r="D75" s="98">
        <f t="shared" si="11"/>
        <v>0</v>
      </c>
      <c r="E75" s="154">
        <f t="shared" si="12"/>
        <v>0</v>
      </c>
      <c r="F75" s="195">
        <f t="shared" si="13"/>
        <v>0</v>
      </c>
      <c r="G75" s="97">
        <f t="shared" si="13"/>
        <v>0</v>
      </c>
      <c r="H75" s="97">
        <f t="shared" si="13"/>
        <v>0</v>
      </c>
      <c r="I75" s="97">
        <f t="shared" si="13"/>
        <v>0</v>
      </c>
      <c r="J75" s="97">
        <f t="shared" si="13"/>
        <v>0</v>
      </c>
      <c r="K75" s="97">
        <f t="shared" si="13"/>
        <v>0</v>
      </c>
      <c r="L75" s="97">
        <f t="shared" si="13"/>
        <v>0</v>
      </c>
      <c r="M75" s="97">
        <f t="shared" si="13"/>
        <v>0</v>
      </c>
      <c r="N75" s="97">
        <f t="shared" si="13"/>
        <v>0</v>
      </c>
      <c r="O75" s="97">
        <f t="shared" si="13"/>
        <v>0</v>
      </c>
      <c r="P75" s="196">
        <f t="shared" si="13"/>
        <v>0</v>
      </c>
      <c r="Q75" s="188">
        <f t="shared" si="14"/>
        <v>0</v>
      </c>
      <c r="R75" s="97">
        <f t="shared" si="23"/>
        <v>0</v>
      </c>
      <c r="S75" s="97">
        <f t="shared" si="23"/>
        <v>0</v>
      </c>
      <c r="T75" s="97">
        <f t="shared" si="23"/>
        <v>0</v>
      </c>
      <c r="U75" s="97">
        <f t="shared" si="23"/>
        <v>0</v>
      </c>
      <c r="V75" s="97">
        <f t="shared" si="23"/>
        <v>0</v>
      </c>
      <c r="W75" s="97">
        <f t="shared" si="23"/>
        <v>0</v>
      </c>
      <c r="X75" s="97">
        <f t="shared" si="23"/>
        <v>0</v>
      </c>
      <c r="Y75" s="97">
        <f t="shared" si="23"/>
        <v>0</v>
      </c>
      <c r="Z75" s="97">
        <f t="shared" si="23"/>
        <v>0</v>
      </c>
      <c r="AA75" s="189">
        <f t="shared" si="23"/>
        <v>0</v>
      </c>
      <c r="AB75" s="195">
        <f t="shared" si="16"/>
        <v>0</v>
      </c>
      <c r="AC75" s="97">
        <f t="shared" si="24"/>
        <v>0</v>
      </c>
      <c r="AD75" s="97">
        <f t="shared" si="24"/>
        <v>0</v>
      </c>
      <c r="AE75" s="97">
        <f t="shared" si="24"/>
        <v>0</v>
      </c>
      <c r="AF75" s="97">
        <f t="shared" si="24"/>
        <v>0</v>
      </c>
      <c r="AG75" s="97">
        <f t="shared" si="24"/>
        <v>0</v>
      </c>
      <c r="AH75" s="97">
        <f t="shared" si="24"/>
        <v>0</v>
      </c>
      <c r="AI75" s="97">
        <f t="shared" si="24"/>
        <v>0</v>
      </c>
      <c r="AJ75" s="97">
        <f t="shared" si="24"/>
        <v>0</v>
      </c>
      <c r="AK75" s="97">
        <f t="shared" si="24"/>
        <v>0</v>
      </c>
      <c r="AL75" s="196">
        <f t="shared" si="24"/>
        <v>0</v>
      </c>
      <c r="AM75" s="188">
        <f t="shared" si="25"/>
        <v>0</v>
      </c>
      <c r="AN75" s="97">
        <f t="shared" si="25"/>
        <v>0</v>
      </c>
      <c r="AO75" s="97">
        <f t="shared" si="25"/>
        <v>0</v>
      </c>
      <c r="AP75" s="97">
        <f t="shared" si="25"/>
        <v>0</v>
      </c>
      <c r="AQ75" s="97">
        <f t="shared" si="25"/>
        <v>0</v>
      </c>
      <c r="AR75" s="97">
        <f t="shared" si="25"/>
        <v>0</v>
      </c>
      <c r="AS75" s="97">
        <f t="shared" si="25"/>
        <v>0</v>
      </c>
      <c r="AT75" s="97">
        <f t="shared" si="25"/>
        <v>0</v>
      </c>
      <c r="AU75" s="97">
        <f t="shared" si="25"/>
        <v>0</v>
      </c>
      <c r="AV75" s="97">
        <f t="shared" si="25"/>
        <v>0</v>
      </c>
      <c r="AW75" s="189">
        <f t="shared" si="25"/>
        <v>0</v>
      </c>
      <c r="AX75" s="195">
        <f t="shared" si="26"/>
        <v>0</v>
      </c>
      <c r="AY75" s="97">
        <f t="shared" si="26"/>
        <v>0</v>
      </c>
      <c r="AZ75" s="97">
        <f t="shared" si="26"/>
        <v>0</v>
      </c>
      <c r="BA75" s="97">
        <f t="shared" si="26"/>
        <v>0</v>
      </c>
      <c r="BB75" s="97">
        <f t="shared" si="26"/>
        <v>0</v>
      </c>
      <c r="BC75" s="97">
        <f t="shared" si="26"/>
        <v>0</v>
      </c>
      <c r="BD75" s="97">
        <f t="shared" si="26"/>
        <v>0</v>
      </c>
      <c r="BE75" s="97">
        <f t="shared" si="26"/>
        <v>0</v>
      </c>
      <c r="BF75" s="97">
        <f t="shared" si="26"/>
        <v>0</v>
      </c>
      <c r="BG75" s="97">
        <f t="shared" si="26"/>
        <v>0</v>
      </c>
      <c r="BH75" s="196">
        <f t="shared" si="26"/>
        <v>0</v>
      </c>
      <c r="BI75" s="188">
        <f t="shared" si="27"/>
        <v>0</v>
      </c>
      <c r="BJ75" s="97">
        <f t="shared" si="27"/>
        <v>0</v>
      </c>
      <c r="BK75" s="97">
        <f t="shared" si="27"/>
        <v>0</v>
      </c>
      <c r="BL75" s="97">
        <f t="shared" si="27"/>
        <v>0</v>
      </c>
      <c r="BM75" s="97">
        <f t="shared" si="27"/>
        <v>0</v>
      </c>
      <c r="BN75" s="97">
        <f t="shared" si="27"/>
        <v>0</v>
      </c>
      <c r="BO75" s="97">
        <f t="shared" si="27"/>
        <v>0</v>
      </c>
      <c r="BP75" s="97">
        <f t="shared" si="27"/>
        <v>0</v>
      </c>
      <c r="BQ75" s="97">
        <f t="shared" si="27"/>
        <v>0</v>
      </c>
      <c r="BR75" s="97">
        <f t="shared" si="27"/>
        <v>0</v>
      </c>
      <c r="BS75" s="189">
        <f t="shared" si="27"/>
        <v>0</v>
      </c>
    </row>
    <row r="76" spans="1:71" ht="13.5" thickBot="1" x14ac:dyDescent="0.25">
      <c r="A76" s="155" t="s">
        <v>84</v>
      </c>
      <c r="B76" s="156">
        <f t="shared" si="21"/>
        <v>0</v>
      </c>
      <c r="C76" s="157">
        <f t="shared" si="22"/>
        <v>0</v>
      </c>
      <c r="D76" s="157">
        <f t="shared" si="11"/>
        <v>0</v>
      </c>
      <c r="E76" s="158">
        <f t="shared" si="12"/>
        <v>0</v>
      </c>
      <c r="F76" s="197">
        <f t="shared" si="13"/>
        <v>0</v>
      </c>
      <c r="G76" s="191">
        <f t="shared" si="13"/>
        <v>0</v>
      </c>
      <c r="H76" s="191">
        <f t="shared" si="13"/>
        <v>0</v>
      </c>
      <c r="I76" s="191">
        <f t="shared" si="13"/>
        <v>0</v>
      </c>
      <c r="J76" s="191">
        <f t="shared" si="13"/>
        <v>0</v>
      </c>
      <c r="K76" s="191">
        <f t="shared" si="13"/>
        <v>0</v>
      </c>
      <c r="L76" s="191">
        <f t="shared" si="13"/>
        <v>0</v>
      </c>
      <c r="M76" s="191">
        <f t="shared" si="13"/>
        <v>0</v>
      </c>
      <c r="N76" s="191">
        <f t="shared" si="13"/>
        <v>0</v>
      </c>
      <c r="O76" s="191">
        <f t="shared" si="13"/>
        <v>0</v>
      </c>
      <c r="P76" s="198">
        <f t="shared" si="13"/>
        <v>0</v>
      </c>
      <c r="Q76" s="190">
        <f t="shared" si="14"/>
        <v>0</v>
      </c>
      <c r="R76" s="191">
        <f t="shared" si="23"/>
        <v>0</v>
      </c>
      <c r="S76" s="191">
        <f t="shared" si="23"/>
        <v>0</v>
      </c>
      <c r="T76" s="191">
        <f t="shared" si="23"/>
        <v>0</v>
      </c>
      <c r="U76" s="191">
        <f t="shared" si="23"/>
        <v>0</v>
      </c>
      <c r="V76" s="191">
        <f t="shared" si="23"/>
        <v>0</v>
      </c>
      <c r="W76" s="191">
        <f t="shared" si="23"/>
        <v>0</v>
      </c>
      <c r="X76" s="191">
        <f t="shared" si="23"/>
        <v>0</v>
      </c>
      <c r="Y76" s="191">
        <f t="shared" si="23"/>
        <v>0</v>
      </c>
      <c r="Z76" s="191">
        <f t="shared" si="23"/>
        <v>0</v>
      </c>
      <c r="AA76" s="192">
        <f t="shared" si="23"/>
        <v>0</v>
      </c>
      <c r="AB76" s="197">
        <f t="shared" si="16"/>
        <v>0</v>
      </c>
      <c r="AC76" s="191">
        <f t="shared" si="24"/>
        <v>0</v>
      </c>
      <c r="AD76" s="191">
        <f t="shared" si="24"/>
        <v>0</v>
      </c>
      <c r="AE76" s="191">
        <f t="shared" si="24"/>
        <v>0</v>
      </c>
      <c r="AF76" s="191">
        <f t="shared" si="24"/>
        <v>0</v>
      </c>
      <c r="AG76" s="191">
        <f t="shared" si="24"/>
        <v>0</v>
      </c>
      <c r="AH76" s="191">
        <f t="shared" si="24"/>
        <v>0</v>
      </c>
      <c r="AI76" s="191">
        <f t="shared" si="24"/>
        <v>0</v>
      </c>
      <c r="AJ76" s="191">
        <f t="shared" si="24"/>
        <v>0</v>
      </c>
      <c r="AK76" s="191">
        <f t="shared" si="24"/>
        <v>0</v>
      </c>
      <c r="AL76" s="198">
        <f t="shared" si="24"/>
        <v>0</v>
      </c>
      <c r="AM76" s="190">
        <f t="shared" si="25"/>
        <v>0</v>
      </c>
      <c r="AN76" s="191">
        <f t="shared" si="25"/>
        <v>0</v>
      </c>
      <c r="AO76" s="191">
        <f t="shared" si="25"/>
        <v>0</v>
      </c>
      <c r="AP76" s="191">
        <f t="shared" si="25"/>
        <v>0</v>
      </c>
      <c r="AQ76" s="191">
        <f t="shared" si="25"/>
        <v>0</v>
      </c>
      <c r="AR76" s="191">
        <f t="shared" si="25"/>
        <v>0</v>
      </c>
      <c r="AS76" s="191">
        <f t="shared" si="25"/>
        <v>0</v>
      </c>
      <c r="AT76" s="191">
        <f t="shared" si="25"/>
        <v>0</v>
      </c>
      <c r="AU76" s="191">
        <f t="shared" si="25"/>
        <v>0</v>
      </c>
      <c r="AV76" s="191">
        <f t="shared" si="25"/>
        <v>0</v>
      </c>
      <c r="AW76" s="192">
        <f t="shared" si="25"/>
        <v>0</v>
      </c>
      <c r="AX76" s="197">
        <f t="shared" si="26"/>
        <v>0</v>
      </c>
      <c r="AY76" s="191">
        <f t="shared" si="26"/>
        <v>0</v>
      </c>
      <c r="AZ76" s="191">
        <f t="shared" si="26"/>
        <v>0</v>
      </c>
      <c r="BA76" s="191">
        <f t="shared" si="26"/>
        <v>0</v>
      </c>
      <c r="BB76" s="191">
        <f t="shared" si="26"/>
        <v>0</v>
      </c>
      <c r="BC76" s="191">
        <f t="shared" si="26"/>
        <v>0</v>
      </c>
      <c r="BD76" s="191">
        <f t="shared" si="26"/>
        <v>0</v>
      </c>
      <c r="BE76" s="191">
        <f t="shared" si="26"/>
        <v>0</v>
      </c>
      <c r="BF76" s="191">
        <f t="shared" si="26"/>
        <v>0</v>
      </c>
      <c r="BG76" s="191">
        <f t="shared" si="26"/>
        <v>0</v>
      </c>
      <c r="BH76" s="198">
        <f t="shared" si="26"/>
        <v>0</v>
      </c>
      <c r="BI76" s="190">
        <f t="shared" si="27"/>
        <v>0</v>
      </c>
      <c r="BJ76" s="191">
        <f t="shared" si="27"/>
        <v>0</v>
      </c>
      <c r="BK76" s="191">
        <f t="shared" si="27"/>
        <v>0</v>
      </c>
      <c r="BL76" s="191">
        <f t="shared" si="27"/>
        <v>0</v>
      </c>
      <c r="BM76" s="191">
        <f t="shared" si="27"/>
        <v>0</v>
      </c>
      <c r="BN76" s="191">
        <f t="shared" si="27"/>
        <v>0</v>
      </c>
      <c r="BO76" s="191">
        <f t="shared" si="27"/>
        <v>0</v>
      </c>
      <c r="BP76" s="191">
        <f t="shared" si="27"/>
        <v>0</v>
      </c>
      <c r="BQ76" s="191">
        <f t="shared" si="27"/>
        <v>0</v>
      </c>
      <c r="BR76" s="191">
        <f t="shared" si="27"/>
        <v>0</v>
      </c>
      <c r="BS76" s="192">
        <f t="shared" si="27"/>
        <v>0</v>
      </c>
    </row>
    <row r="77" spans="1:71" x14ac:dyDescent="0.2">
      <c r="E77" s="108" t="s">
        <v>300</v>
      </c>
      <c r="F77" s="212">
        <f>SUM(F67:F76)</f>
        <v>0</v>
      </c>
      <c r="G77" s="213">
        <f t="shared" ref="G77:AA77" si="28">SUM(G67:G76)</f>
        <v>0</v>
      </c>
      <c r="H77" s="213">
        <f t="shared" si="28"/>
        <v>0</v>
      </c>
      <c r="I77" s="213">
        <f t="shared" si="28"/>
        <v>0</v>
      </c>
      <c r="J77" s="213">
        <f t="shared" si="28"/>
        <v>0</v>
      </c>
      <c r="K77" s="213">
        <f t="shared" si="28"/>
        <v>0</v>
      </c>
      <c r="L77" s="213">
        <f t="shared" si="28"/>
        <v>0</v>
      </c>
      <c r="M77" s="213">
        <f t="shared" si="28"/>
        <v>0</v>
      </c>
      <c r="N77" s="213">
        <f t="shared" si="28"/>
        <v>0</v>
      </c>
      <c r="O77" s="213">
        <f t="shared" si="28"/>
        <v>0</v>
      </c>
      <c r="P77" s="214">
        <f t="shared" si="28"/>
        <v>0</v>
      </c>
      <c r="Q77" s="212">
        <f t="shared" si="28"/>
        <v>0</v>
      </c>
      <c r="R77" s="213">
        <f t="shared" si="28"/>
        <v>0</v>
      </c>
      <c r="S77" s="213">
        <f t="shared" si="28"/>
        <v>0</v>
      </c>
      <c r="T77" s="213">
        <f t="shared" si="28"/>
        <v>0</v>
      </c>
      <c r="U77" s="213">
        <f t="shared" si="28"/>
        <v>0</v>
      </c>
      <c r="V77" s="213">
        <f t="shared" si="28"/>
        <v>0</v>
      </c>
      <c r="W77" s="213">
        <f t="shared" si="28"/>
        <v>0</v>
      </c>
      <c r="X77" s="213">
        <f t="shared" si="28"/>
        <v>0</v>
      </c>
      <c r="Y77" s="213">
        <f t="shared" si="28"/>
        <v>0</v>
      </c>
      <c r="Z77" s="213">
        <f t="shared" si="28"/>
        <v>0</v>
      </c>
      <c r="AA77" s="221">
        <f t="shared" si="28"/>
        <v>0</v>
      </c>
      <c r="AB77" s="222">
        <f>SUM(AB67:AB76)</f>
        <v>0</v>
      </c>
      <c r="AC77" s="213">
        <f t="shared" ref="AC77:BS77" si="29">SUM(AC67:AC76)</f>
        <v>0</v>
      </c>
      <c r="AD77" s="213">
        <f t="shared" si="29"/>
        <v>0</v>
      </c>
      <c r="AE77" s="213">
        <f t="shared" si="29"/>
        <v>0</v>
      </c>
      <c r="AF77" s="213">
        <f t="shared" si="29"/>
        <v>0</v>
      </c>
      <c r="AG77" s="213">
        <f t="shared" si="29"/>
        <v>0</v>
      </c>
      <c r="AH77" s="213">
        <f t="shared" si="29"/>
        <v>0</v>
      </c>
      <c r="AI77" s="213">
        <f t="shared" si="29"/>
        <v>0</v>
      </c>
      <c r="AJ77" s="213">
        <f t="shared" si="29"/>
        <v>0</v>
      </c>
      <c r="AK77" s="213">
        <f t="shared" si="29"/>
        <v>0</v>
      </c>
      <c r="AL77" s="214">
        <f t="shared" si="29"/>
        <v>0</v>
      </c>
      <c r="AM77" s="212">
        <f t="shared" si="29"/>
        <v>0</v>
      </c>
      <c r="AN77" s="213">
        <f t="shared" si="29"/>
        <v>0</v>
      </c>
      <c r="AO77" s="213">
        <f t="shared" si="29"/>
        <v>0</v>
      </c>
      <c r="AP77" s="213">
        <f t="shared" si="29"/>
        <v>0</v>
      </c>
      <c r="AQ77" s="213">
        <f t="shared" si="29"/>
        <v>0</v>
      </c>
      <c r="AR77" s="213">
        <f t="shared" si="29"/>
        <v>0</v>
      </c>
      <c r="AS77" s="213">
        <f t="shared" si="29"/>
        <v>0</v>
      </c>
      <c r="AT77" s="213">
        <f t="shared" si="29"/>
        <v>0</v>
      </c>
      <c r="AU77" s="213">
        <f t="shared" si="29"/>
        <v>0</v>
      </c>
      <c r="AV77" s="213">
        <f t="shared" si="29"/>
        <v>0</v>
      </c>
      <c r="AW77" s="221">
        <f t="shared" si="29"/>
        <v>0</v>
      </c>
      <c r="AX77" s="222">
        <f t="shared" si="29"/>
        <v>0</v>
      </c>
      <c r="AY77" s="213">
        <f t="shared" si="29"/>
        <v>0</v>
      </c>
      <c r="AZ77" s="213">
        <f t="shared" si="29"/>
        <v>0</v>
      </c>
      <c r="BA77" s="213">
        <f t="shared" si="29"/>
        <v>0</v>
      </c>
      <c r="BB77" s="213">
        <f t="shared" si="29"/>
        <v>0</v>
      </c>
      <c r="BC77" s="213">
        <f t="shared" si="29"/>
        <v>0</v>
      </c>
      <c r="BD77" s="213">
        <f t="shared" si="29"/>
        <v>0</v>
      </c>
      <c r="BE77" s="213">
        <f t="shared" si="29"/>
        <v>0</v>
      </c>
      <c r="BF77" s="213">
        <f t="shared" si="29"/>
        <v>0</v>
      </c>
      <c r="BG77" s="213">
        <f t="shared" si="29"/>
        <v>0</v>
      </c>
      <c r="BH77" s="214">
        <f t="shared" si="29"/>
        <v>0</v>
      </c>
      <c r="BI77" s="212">
        <f t="shared" si="29"/>
        <v>0</v>
      </c>
      <c r="BJ77" s="213">
        <f t="shared" si="29"/>
        <v>0</v>
      </c>
      <c r="BK77" s="213">
        <f t="shared" si="29"/>
        <v>0</v>
      </c>
      <c r="BL77" s="213">
        <f t="shared" si="29"/>
        <v>0</v>
      </c>
      <c r="BM77" s="213">
        <f t="shared" si="29"/>
        <v>0</v>
      </c>
      <c r="BN77" s="213">
        <f t="shared" si="29"/>
        <v>0</v>
      </c>
      <c r="BO77" s="213">
        <f t="shared" si="29"/>
        <v>0</v>
      </c>
      <c r="BP77" s="213">
        <f t="shared" si="29"/>
        <v>0</v>
      </c>
      <c r="BQ77" s="213">
        <f t="shared" si="29"/>
        <v>0</v>
      </c>
      <c r="BR77" s="213">
        <f t="shared" si="29"/>
        <v>0</v>
      </c>
      <c r="BS77" s="221">
        <f t="shared" si="29"/>
        <v>0</v>
      </c>
    </row>
    <row r="78" spans="1:71" x14ac:dyDescent="0.2">
      <c r="E78" s="108" t="s">
        <v>301</v>
      </c>
      <c r="F78" s="215">
        <f>IF(D8="",0,VLOOKUP($D$8,'Mast Arm Capacity'!$A$16:$BO$22,F65,0))</f>
        <v>0</v>
      </c>
      <c r="G78" s="216">
        <f>IF(D8="",0,VLOOKUP($D$8,'Mast Arm Capacity'!$A$16:$BO$22,G65,0))</f>
        <v>0</v>
      </c>
      <c r="H78" s="216">
        <f>IF(D8="",0,VLOOKUP($D$8,'Mast Arm Capacity'!$A$16:$BO$22,H65,0))</f>
        <v>0</v>
      </c>
      <c r="I78" s="216">
        <f>IF(D8="",0,VLOOKUP($D$8,'Mast Arm Capacity'!$A$16:$BO$22,I65,0))</f>
        <v>0</v>
      </c>
      <c r="J78" s="216">
        <f>IF(D8="",0,VLOOKUP($D$8,'Mast Arm Capacity'!$A$16:$BO$22,J65,0))</f>
        <v>0</v>
      </c>
      <c r="K78" s="216">
        <f>IF(D8="",0,VLOOKUP($D$8,'Mast Arm Capacity'!$A$16:$BO$22,K65,0))</f>
        <v>0</v>
      </c>
      <c r="L78" s="216">
        <f>IF(D8="",0,VLOOKUP($D$8,'Mast Arm Capacity'!$A$16:$BO$22,L65,0))</f>
        <v>0</v>
      </c>
      <c r="M78" s="216">
        <f>IF(D8="",0,VLOOKUP($D$8,'Mast Arm Capacity'!$A$16:$BO$22,M65,0))</f>
        <v>0</v>
      </c>
      <c r="N78" s="216">
        <f>IF(D8="",0,VLOOKUP($D$8,'Mast Arm Capacity'!$A$16:$BO$22,N65,0))</f>
        <v>0</v>
      </c>
      <c r="O78" s="216">
        <f>IF(D8="",0,VLOOKUP($D$8,'Mast Arm Capacity'!$A$16:$BO$22,O65,0))</f>
        <v>0</v>
      </c>
      <c r="P78" s="217">
        <f>IF(D8="",0,VLOOKUP($D$8,'Mast Arm Capacity'!$A$16:$BO$22,P65,0))</f>
        <v>0</v>
      </c>
      <c r="Q78" s="215">
        <f>IF(D8="",0,VLOOKUP($D$8,'Mast Arm Capacity'!$A$16:$BO$22,Q65,0))</f>
        <v>0</v>
      </c>
      <c r="R78" s="216">
        <f>IF(D8="",0,VLOOKUP($D$8,'Mast Arm Capacity'!$A$16:$BO$22,R65,0))</f>
        <v>0</v>
      </c>
      <c r="S78" s="216">
        <f>IF(D8="",0,VLOOKUP($D$8,'Mast Arm Capacity'!$A$16:$BO$22,S65,0))</f>
        <v>0</v>
      </c>
      <c r="T78" s="216">
        <f>IF(D8="",0,VLOOKUP($D$8,'Mast Arm Capacity'!$A$16:$BO$22,T65,0))</f>
        <v>0</v>
      </c>
      <c r="U78" s="216">
        <f>IF(D8="",0,VLOOKUP($D$8,'Mast Arm Capacity'!$A$16:$BO$22,U65,0))</f>
        <v>0</v>
      </c>
      <c r="V78" s="216">
        <f>IF(D8="",0,VLOOKUP($D$8,'Mast Arm Capacity'!$A$16:$BO$22,V65,0))</f>
        <v>0</v>
      </c>
      <c r="W78" s="216">
        <f>IF(D8="",0,VLOOKUP($D$8,'Mast Arm Capacity'!$A$16:$BO$22,W65,0))</f>
        <v>0</v>
      </c>
      <c r="X78" s="216">
        <f>IF(D8="",0,VLOOKUP($D$8,'Mast Arm Capacity'!$A$16:$BO$22,X65,0))</f>
        <v>0</v>
      </c>
      <c r="Y78" s="216">
        <f>IF(D8="",0,VLOOKUP($D$8,'Mast Arm Capacity'!$A$16:$BO$22,Y65,0))</f>
        <v>0</v>
      </c>
      <c r="Z78" s="216">
        <f>IF(D8="",0,VLOOKUP($D$8,'Mast Arm Capacity'!$A$16:$BO$22,Z65,0))</f>
        <v>0</v>
      </c>
      <c r="AA78" s="223">
        <f>IF(D8="",0,VLOOKUP($D$8,'Mast Arm Capacity'!$A$16:$BO$22,AA65,0))</f>
        <v>0</v>
      </c>
      <c r="AB78" s="224">
        <f>IF(D8="",0,VLOOKUP($D$8,'Mast Arm Capacity'!$A$16:$BO$22,AB65,0))</f>
        <v>0</v>
      </c>
      <c r="AC78" s="216">
        <f>IF(D8="",0,VLOOKUP($D$8,'Mast Arm Capacity'!$A$16:$BO$22,AC65,0))</f>
        <v>0</v>
      </c>
      <c r="AD78" s="216">
        <f>IF(D8="",0,VLOOKUP($D$8,'Mast Arm Capacity'!$A$16:$BO$22,AD65,0))</f>
        <v>0</v>
      </c>
      <c r="AE78" s="216">
        <f>IF(D8="",0,VLOOKUP($D$8,'Mast Arm Capacity'!$A$16:$BO$22,AE65,0))</f>
        <v>0</v>
      </c>
      <c r="AF78" s="216">
        <f>IF(D8="",0,VLOOKUP($D$8,'Mast Arm Capacity'!$A$16:$BO$22,AF65,0))</f>
        <v>0</v>
      </c>
      <c r="AG78" s="216">
        <f>IF(D8="",0,VLOOKUP($D$8,'Mast Arm Capacity'!$A$16:$BO$22,AG65,0))</f>
        <v>0</v>
      </c>
      <c r="AH78" s="216">
        <f>IF(D8="",0,VLOOKUP($D$8,'Mast Arm Capacity'!$A$16:$BO$22,AH65,0))</f>
        <v>0</v>
      </c>
      <c r="AI78" s="216">
        <f>IF(D8="",0,VLOOKUP($D$8,'Mast Arm Capacity'!$A$16:$BO$22,AI65,0))</f>
        <v>0</v>
      </c>
      <c r="AJ78" s="216">
        <f>IF(D8="",0,VLOOKUP($D$8,'Mast Arm Capacity'!$A$16:$BO$22,AJ65,0))</f>
        <v>0</v>
      </c>
      <c r="AK78" s="216">
        <f>IF(D8="",0,VLOOKUP($D$8,'Mast Arm Capacity'!$A$16:$BO$22,AK65,0))</f>
        <v>0</v>
      </c>
      <c r="AL78" s="217">
        <f>IF(D8="",0,VLOOKUP($D$8,'Mast Arm Capacity'!$A$16:$BO$22,AL65,0))</f>
        <v>0</v>
      </c>
      <c r="AM78" s="215">
        <f>IF(D8="",0,VLOOKUP($D$8,'Mast Arm Capacity'!$A$16:$BO$22,AM65,0))</f>
        <v>0</v>
      </c>
      <c r="AN78" s="216">
        <f>IF(D8="",0,VLOOKUP($D$8,'Mast Arm Capacity'!$A$16:$BO$22,AN65,0))</f>
        <v>0</v>
      </c>
      <c r="AO78" s="216">
        <f>IF(D8="",0,VLOOKUP($D$8,'Mast Arm Capacity'!$A$16:$BO$22,AO65,0))</f>
        <v>0</v>
      </c>
      <c r="AP78" s="216">
        <f>IF(D8="",0,VLOOKUP($D$8,'Mast Arm Capacity'!$A$16:$BO$22,AP65,0))</f>
        <v>0</v>
      </c>
      <c r="AQ78" s="216">
        <f>IF(D8="",0,VLOOKUP($D$8,'Mast Arm Capacity'!$A$16:$BO$22,AQ65,0))</f>
        <v>0</v>
      </c>
      <c r="AR78" s="216">
        <f>IF(D8="",0,VLOOKUP($D$8,'Mast Arm Capacity'!$A$16:$BO$22,AR65,0))</f>
        <v>0</v>
      </c>
      <c r="AS78" s="216">
        <f>IF(D8="",0,VLOOKUP($D$8,'Mast Arm Capacity'!$A$16:$BO$22,AS65,0))</f>
        <v>0</v>
      </c>
      <c r="AT78" s="216">
        <f>IF(D8="",0,VLOOKUP($D$8,'Mast Arm Capacity'!$A$16:$BO$22,AT65,0))</f>
        <v>0</v>
      </c>
      <c r="AU78" s="216">
        <f>IF(D8="",0,VLOOKUP($D$8,'Mast Arm Capacity'!$A$16:$BO$22,AU65,0))</f>
        <v>0</v>
      </c>
      <c r="AV78" s="216">
        <f>IF(D8="",0,VLOOKUP($D$8,'Mast Arm Capacity'!$A$16:$BO$22,AV65,0))</f>
        <v>0</v>
      </c>
      <c r="AW78" s="223">
        <f>IF(D8="",0,VLOOKUP($D$8,'Mast Arm Capacity'!$A$16:$BO$22,AW65,0))</f>
        <v>0</v>
      </c>
      <c r="AX78" s="224">
        <f>IF(D8="",0,VLOOKUP($D$8,'Mast Arm Capacity'!$A$16:$BO$22,AX65,0))</f>
        <v>0</v>
      </c>
      <c r="AY78" s="216">
        <f>IF(D8="",0,VLOOKUP($D$8,'Mast Arm Capacity'!$A$16:$BO$22,AY65,0))</f>
        <v>0</v>
      </c>
      <c r="AZ78" s="216">
        <f>IF(D8="",0,VLOOKUP($D$8,'Mast Arm Capacity'!$A$16:$BO$22,AZ65,0))</f>
        <v>0</v>
      </c>
      <c r="BA78" s="216">
        <f>IF(D8="",0,VLOOKUP($D$8,'Mast Arm Capacity'!$A$16:$BO$22,BA65,0))</f>
        <v>0</v>
      </c>
      <c r="BB78" s="216">
        <f>IF(D8="",0,VLOOKUP($D$8,'Mast Arm Capacity'!$A$16:$BO$22,BB65,0))</f>
        <v>0</v>
      </c>
      <c r="BC78" s="216">
        <f>IF(D8="",0,VLOOKUP($D$8,'Mast Arm Capacity'!$A$16:$BO$22,BC65,0))</f>
        <v>0</v>
      </c>
      <c r="BD78" s="216">
        <f>IF(D8="",0,VLOOKUP($D$8,'Mast Arm Capacity'!$A$16:$BO$22,BD65,0))</f>
        <v>0</v>
      </c>
      <c r="BE78" s="216">
        <f>IF(D8="",0,VLOOKUP($D$8,'Mast Arm Capacity'!$A$16:$BO$22,BE65,0))</f>
        <v>0</v>
      </c>
      <c r="BF78" s="216">
        <f>IF(D8="",0,VLOOKUP($D$8,'Mast Arm Capacity'!$A$16:$BO$22,BF65,0))</f>
        <v>0</v>
      </c>
      <c r="BG78" s="216">
        <f>IF(D8="",0,VLOOKUP($D$8,'Mast Arm Capacity'!$A$16:$BO$22,BG65,0))</f>
        <v>0</v>
      </c>
      <c r="BH78" s="217">
        <f>IF(D8="",0,VLOOKUP($D$8,'Mast Arm Capacity'!$A$16:$BO$22,BH65,0))</f>
        <v>0</v>
      </c>
      <c r="BI78" s="215">
        <f>IF(D8="",0,VLOOKUP($D$8,'Mast Arm Capacity'!$A$16:$BO$22,BI65,0))</f>
        <v>0</v>
      </c>
      <c r="BJ78" s="216">
        <f>IF(D8="",0,VLOOKUP($D$8,'Mast Arm Capacity'!$A$16:$BO$22,BJ65,0))</f>
        <v>0</v>
      </c>
      <c r="BK78" s="216">
        <f>IF(D8="",0,VLOOKUP($D$8,'Mast Arm Capacity'!$A$16:$BO$22,BK65,0))</f>
        <v>0</v>
      </c>
      <c r="BL78" s="216">
        <f>IF(D8="",0,VLOOKUP($D$8,'Mast Arm Capacity'!$A$16:$BO$22,BL65,0))</f>
        <v>0</v>
      </c>
      <c r="BM78" s="216">
        <f>IF(D8="",0,VLOOKUP($D$8,'Mast Arm Capacity'!$A$16:$BO$22,BM65,0))</f>
        <v>0</v>
      </c>
      <c r="BN78" s="216">
        <f>IF(D8="",0,VLOOKUP($D$8,'Mast Arm Capacity'!$A$16:$BO$22,BN65,0))</f>
        <v>0</v>
      </c>
      <c r="BO78" s="216">
        <f>IF(D8="",0,VLOOKUP($D$8,'Mast Arm Capacity'!$A$16:$BO$22,BO65,0))</f>
        <v>0</v>
      </c>
      <c r="BP78" s="216">
        <f>IF(D8="",0,VLOOKUP($D$8,'Mast Arm Capacity'!$A$16:$BO$22,BP65,0))</f>
        <v>0</v>
      </c>
      <c r="BQ78" s="216">
        <f>IF(D8="",0,VLOOKUP($D$8,'Mast Arm Capacity'!$A$16:$BO$22,BQ65,0))</f>
        <v>0</v>
      </c>
      <c r="BR78" s="216">
        <f>IF(D8="",0,VLOOKUP($D$8,'Mast Arm Capacity'!$A$16:$BO$22,BR65,0))</f>
        <v>0</v>
      </c>
      <c r="BS78" s="223">
        <f>IF(D8="",0,VLOOKUP($D$8,'Mast Arm Capacity'!$A$16:$BO$22,BS65,0))</f>
        <v>0</v>
      </c>
    </row>
    <row r="79" spans="1:71" ht="13.5" thickBot="1" x14ac:dyDescent="0.25">
      <c r="E79" s="108" t="s">
        <v>305</v>
      </c>
      <c r="F79" s="218" t="str">
        <f>IF(F78=0,"NA",F77/F78)</f>
        <v>NA</v>
      </c>
      <c r="G79" s="219" t="str">
        <f t="shared" ref="G79:AB79" si="30">IF(G78=0,"NA",G77/G78)</f>
        <v>NA</v>
      </c>
      <c r="H79" s="219" t="str">
        <f t="shared" si="30"/>
        <v>NA</v>
      </c>
      <c r="I79" s="219" t="str">
        <f t="shared" si="30"/>
        <v>NA</v>
      </c>
      <c r="J79" s="219" t="str">
        <f t="shared" si="30"/>
        <v>NA</v>
      </c>
      <c r="K79" s="219" t="str">
        <f t="shared" si="30"/>
        <v>NA</v>
      </c>
      <c r="L79" s="219" t="str">
        <f>IF(L78=0,"NA",L77/L78)</f>
        <v>NA</v>
      </c>
      <c r="M79" s="219" t="str">
        <f t="shared" si="30"/>
        <v>NA</v>
      </c>
      <c r="N79" s="219" t="str">
        <f t="shared" si="30"/>
        <v>NA</v>
      </c>
      <c r="O79" s="219" t="str">
        <f t="shared" si="30"/>
        <v>NA</v>
      </c>
      <c r="P79" s="220" t="str">
        <f t="shared" si="30"/>
        <v>NA</v>
      </c>
      <c r="Q79" s="218" t="str">
        <f t="shared" si="30"/>
        <v>NA</v>
      </c>
      <c r="R79" s="219" t="str">
        <f t="shared" si="30"/>
        <v>NA</v>
      </c>
      <c r="S79" s="219" t="str">
        <f t="shared" si="30"/>
        <v>NA</v>
      </c>
      <c r="T79" s="219" t="str">
        <f t="shared" si="30"/>
        <v>NA</v>
      </c>
      <c r="U79" s="219" t="str">
        <f t="shared" si="30"/>
        <v>NA</v>
      </c>
      <c r="V79" s="219" t="str">
        <f t="shared" si="30"/>
        <v>NA</v>
      </c>
      <c r="W79" s="219" t="str">
        <f t="shared" si="30"/>
        <v>NA</v>
      </c>
      <c r="X79" s="219" t="str">
        <f t="shared" si="30"/>
        <v>NA</v>
      </c>
      <c r="Y79" s="219" t="str">
        <f t="shared" si="30"/>
        <v>NA</v>
      </c>
      <c r="Z79" s="219" t="str">
        <f t="shared" si="30"/>
        <v>NA</v>
      </c>
      <c r="AA79" s="225" t="str">
        <f t="shared" si="30"/>
        <v>NA</v>
      </c>
      <c r="AB79" s="226" t="str">
        <f t="shared" si="30"/>
        <v>NA</v>
      </c>
      <c r="AC79" s="219" t="str">
        <f>IF(AC78=0,"NA",AC77/AC78)</f>
        <v>NA</v>
      </c>
      <c r="AD79" s="219" t="str">
        <f t="shared" ref="AD79:BS79" si="31">IF(AD78=0,"NA",AD77/AD78)</f>
        <v>NA</v>
      </c>
      <c r="AE79" s="219" t="str">
        <f t="shared" si="31"/>
        <v>NA</v>
      </c>
      <c r="AF79" s="219" t="str">
        <f t="shared" si="31"/>
        <v>NA</v>
      </c>
      <c r="AG79" s="219" t="str">
        <f t="shared" si="31"/>
        <v>NA</v>
      </c>
      <c r="AH79" s="219" t="str">
        <f t="shared" si="31"/>
        <v>NA</v>
      </c>
      <c r="AI79" s="219" t="str">
        <f t="shared" si="31"/>
        <v>NA</v>
      </c>
      <c r="AJ79" s="219" t="str">
        <f t="shared" si="31"/>
        <v>NA</v>
      </c>
      <c r="AK79" s="219" t="str">
        <f t="shared" si="31"/>
        <v>NA</v>
      </c>
      <c r="AL79" s="220" t="str">
        <f t="shared" si="31"/>
        <v>NA</v>
      </c>
      <c r="AM79" s="218" t="str">
        <f t="shared" si="31"/>
        <v>NA</v>
      </c>
      <c r="AN79" s="219" t="str">
        <f t="shared" si="31"/>
        <v>NA</v>
      </c>
      <c r="AO79" s="219" t="str">
        <f t="shared" si="31"/>
        <v>NA</v>
      </c>
      <c r="AP79" s="219" t="str">
        <f t="shared" si="31"/>
        <v>NA</v>
      </c>
      <c r="AQ79" s="219" t="str">
        <f t="shared" si="31"/>
        <v>NA</v>
      </c>
      <c r="AR79" s="219" t="str">
        <f t="shared" si="31"/>
        <v>NA</v>
      </c>
      <c r="AS79" s="219" t="str">
        <f t="shared" si="31"/>
        <v>NA</v>
      </c>
      <c r="AT79" s="219" t="str">
        <f t="shared" si="31"/>
        <v>NA</v>
      </c>
      <c r="AU79" s="219" t="str">
        <f t="shared" si="31"/>
        <v>NA</v>
      </c>
      <c r="AV79" s="219" t="str">
        <f t="shared" si="31"/>
        <v>NA</v>
      </c>
      <c r="AW79" s="225" t="str">
        <f t="shared" si="31"/>
        <v>NA</v>
      </c>
      <c r="AX79" s="226" t="str">
        <f t="shared" si="31"/>
        <v>NA</v>
      </c>
      <c r="AY79" s="219" t="str">
        <f t="shared" si="31"/>
        <v>NA</v>
      </c>
      <c r="AZ79" s="219" t="str">
        <f t="shared" si="31"/>
        <v>NA</v>
      </c>
      <c r="BA79" s="219" t="str">
        <f t="shared" si="31"/>
        <v>NA</v>
      </c>
      <c r="BB79" s="219" t="str">
        <f t="shared" si="31"/>
        <v>NA</v>
      </c>
      <c r="BC79" s="219" t="str">
        <f t="shared" si="31"/>
        <v>NA</v>
      </c>
      <c r="BD79" s="219" t="str">
        <f t="shared" si="31"/>
        <v>NA</v>
      </c>
      <c r="BE79" s="219" t="str">
        <f t="shared" si="31"/>
        <v>NA</v>
      </c>
      <c r="BF79" s="219" t="str">
        <f t="shared" si="31"/>
        <v>NA</v>
      </c>
      <c r="BG79" s="219" t="str">
        <f t="shared" si="31"/>
        <v>NA</v>
      </c>
      <c r="BH79" s="220" t="str">
        <f t="shared" si="31"/>
        <v>NA</v>
      </c>
      <c r="BI79" s="218" t="str">
        <f t="shared" si="31"/>
        <v>NA</v>
      </c>
      <c r="BJ79" s="219" t="str">
        <f t="shared" si="31"/>
        <v>NA</v>
      </c>
      <c r="BK79" s="219" t="str">
        <f t="shared" si="31"/>
        <v>NA</v>
      </c>
      <c r="BL79" s="219" t="str">
        <f t="shared" si="31"/>
        <v>NA</v>
      </c>
      <c r="BM79" s="219" t="str">
        <f t="shared" si="31"/>
        <v>NA</v>
      </c>
      <c r="BN79" s="219" t="str">
        <f t="shared" si="31"/>
        <v>NA</v>
      </c>
      <c r="BO79" s="219" t="str">
        <f t="shared" si="31"/>
        <v>NA</v>
      </c>
      <c r="BP79" s="219" t="str">
        <f t="shared" si="31"/>
        <v>NA</v>
      </c>
      <c r="BQ79" s="219" t="str">
        <f t="shared" si="31"/>
        <v>NA</v>
      </c>
      <c r="BR79" s="219" t="str">
        <f t="shared" si="31"/>
        <v>NA</v>
      </c>
      <c r="BS79" s="225" t="str">
        <f t="shared" si="31"/>
        <v>NA</v>
      </c>
    </row>
    <row r="80" spans="1:71" ht="13.5" thickBot="1" x14ac:dyDescent="0.25"/>
    <row r="81" spans="4:71" ht="16.5" thickBot="1" x14ac:dyDescent="0.35">
      <c r="F81" s="256" t="s">
        <v>322</v>
      </c>
      <c r="G81" s="257"/>
      <c r="H81" s="257"/>
      <c r="I81" s="257"/>
      <c r="J81" s="257"/>
      <c r="K81" s="257"/>
      <c r="L81" s="257"/>
      <c r="M81" s="257"/>
      <c r="N81" s="257"/>
      <c r="O81" s="257"/>
      <c r="P81" s="258"/>
      <c r="Q81" s="269" t="s">
        <v>323</v>
      </c>
      <c r="R81" s="257"/>
      <c r="S81" s="257"/>
      <c r="T81" s="257"/>
      <c r="U81" s="257"/>
      <c r="V81" s="257"/>
      <c r="W81" s="257"/>
      <c r="X81" s="257"/>
      <c r="Y81" s="257"/>
      <c r="Z81" s="257"/>
      <c r="AA81" s="270"/>
      <c r="AB81" s="256" t="s">
        <v>324</v>
      </c>
      <c r="AC81" s="257"/>
      <c r="AD81" s="257"/>
      <c r="AE81" s="257"/>
      <c r="AF81" s="257"/>
      <c r="AG81" s="257"/>
      <c r="AH81" s="257"/>
      <c r="AI81" s="257"/>
      <c r="AJ81" s="257"/>
      <c r="AK81" s="257"/>
      <c r="AL81" s="258"/>
      <c r="AM81" s="269" t="s">
        <v>325</v>
      </c>
      <c r="AN81" s="257"/>
      <c r="AO81" s="257"/>
      <c r="AP81" s="257"/>
      <c r="AQ81" s="257"/>
      <c r="AR81" s="257"/>
      <c r="AS81" s="257"/>
      <c r="AT81" s="257"/>
      <c r="AU81" s="257"/>
      <c r="AV81" s="257"/>
      <c r="AW81" s="270"/>
      <c r="AX81" s="256" t="s">
        <v>326</v>
      </c>
      <c r="AY81" s="257"/>
      <c r="AZ81" s="257"/>
      <c r="BA81" s="257"/>
      <c r="BB81" s="257"/>
      <c r="BC81" s="257"/>
      <c r="BD81" s="257"/>
      <c r="BE81" s="257"/>
      <c r="BF81" s="257"/>
      <c r="BG81" s="257"/>
      <c r="BH81" s="258"/>
      <c r="BI81" s="265" t="s">
        <v>327</v>
      </c>
      <c r="BJ81" s="266"/>
      <c r="BK81" s="266"/>
      <c r="BL81" s="266"/>
      <c r="BM81" s="266"/>
      <c r="BN81" s="266"/>
      <c r="BO81" s="266"/>
      <c r="BP81" s="266"/>
      <c r="BQ81" s="266"/>
      <c r="BR81" s="266"/>
      <c r="BS81" s="267"/>
    </row>
    <row r="82" spans="4:71" ht="13.5" thickBot="1" x14ac:dyDescent="0.25">
      <c r="E82" s="232" t="s">
        <v>359</v>
      </c>
      <c r="F82" s="174">
        <v>0</v>
      </c>
      <c r="G82" s="175">
        <v>5</v>
      </c>
      <c r="H82" s="175">
        <v>10</v>
      </c>
      <c r="I82" s="175">
        <v>15</v>
      </c>
      <c r="J82" s="175">
        <v>20</v>
      </c>
      <c r="K82" s="175">
        <v>25</v>
      </c>
      <c r="L82" s="175">
        <v>30</v>
      </c>
      <c r="M82" s="175">
        <v>35</v>
      </c>
      <c r="N82" s="175">
        <v>40</v>
      </c>
      <c r="O82" s="175">
        <v>45</v>
      </c>
      <c r="P82" s="177">
        <v>50</v>
      </c>
      <c r="Q82" s="183">
        <v>0</v>
      </c>
      <c r="R82" s="175">
        <v>5</v>
      </c>
      <c r="S82" s="175">
        <v>10</v>
      </c>
      <c r="T82" s="175">
        <v>15</v>
      </c>
      <c r="U82" s="175">
        <v>20</v>
      </c>
      <c r="V82" s="175">
        <v>25</v>
      </c>
      <c r="W82" s="175">
        <v>30</v>
      </c>
      <c r="X82" s="175">
        <v>35</v>
      </c>
      <c r="Y82" s="175">
        <v>40</v>
      </c>
      <c r="Z82" s="175">
        <v>45</v>
      </c>
      <c r="AA82" s="182">
        <v>50</v>
      </c>
      <c r="AB82" s="174">
        <v>0</v>
      </c>
      <c r="AC82" s="175">
        <v>5</v>
      </c>
      <c r="AD82" s="175">
        <v>10</v>
      </c>
      <c r="AE82" s="175">
        <v>15</v>
      </c>
      <c r="AF82" s="175">
        <v>20</v>
      </c>
      <c r="AG82" s="175">
        <v>25</v>
      </c>
      <c r="AH82" s="175">
        <v>30</v>
      </c>
      <c r="AI82" s="175">
        <v>35</v>
      </c>
      <c r="AJ82" s="175">
        <v>40</v>
      </c>
      <c r="AK82" s="175">
        <v>45</v>
      </c>
      <c r="AL82" s="177">
        <v>50</v>
      </c>
      <c r="AM82" s="183">
        <v>0</v>
      </c>
      <c r="AN82" s="175">
        <v>5</v>
      </c>
      <c r="AO82" s="175">
        <v>10</v>
      </c>
      <c r="AP82" s="175">
        <v>15</v>
      </c>
      <c r="AQ82" s="175">
        <v>20</v>
      </c>
      <c r="AR82" s="175">
        <v>25</v>
      </c>
      <c r="AS82" s="175">
        <v>30</v>
      </c>
      <c r="AT82" s="175">
        <v>35</v>
      </c>
      <c r="AU82" s="175">
        <v>40</v>
      </c>
      <c r="AV82" s="175">
        <v>45</v>
      </c>
      <c r="AW82" s="182">
        <v>50</v>
      </c>
      <c r="AX82" s="174">
        <v>0</v>
      </c>
      <c r="AY82" s="175">
        <v>5</v>
      </c>
      <c r="AZ82" s="175">
        <v>10</v>
      </c>
      <c r="BA82" s="175">
        <v>15</v>
      </c>
      <c r="BB82" s="175">
        <v>20</v>
      </c>
      <c r="BC82" s="175">
        <v>25</v>
      </c>
      <c r="BD82" s="175">
        <v>30</v>
      </c>
      <c r="BE82" s="175">
        <v>35</v>
      </c>
      <c r="BF82" s="175">
        <v>40</v>
      </c>
      <c r="BG82" s="175">
        <v>45</v>
      </c>
      <c r="BH82" s="177">
        <v>50</v>
      </c>
      <c r="BI82" s="174">
        <v>0</v>
      </c>
      <c r="BJ82" s="175">
        <v>5</v>
      </c>
      <c r="BK82" s="175">
        <v>10</v>
      </c>
      <c r="BL82" s="175">
        <v>15</v>
      </c>
      <c r="BM82" s="175">
        <v>20</v>
      </c>
      <c r="BN82" s="175">
        <v>25</v>
      </c>
      <c r="BO82" s="175">
        <v>30</v>
      </c>
      <c r="BP82" s="175">
        <v>35</v>
      </c>
      <c r="BQ82" s="175">
        <v>40</v>
      </c>
      <c r="BR82" s="175">
        <v>45</v>
      </c>
      <c r="BS82" s="177">
        <v>50</v>
      </c>
    </row>
    <row r="83" spans="4:71" x14ac:dyDescent="0.2">
      <c r="D83" s="262" t="s">
        <v>358</v>
      </c>
      <c r="E83" s="229">
        <v>25</v>
      </c>
      <c r="F83" s="185">
        <f>'Mast Arm Capacity'!B17</f>
        <v>206.8</v>
      </c>
      <c r="G83" s="186">
        <f>'Mast Arm Capacity'!C17</f>
        <v>116.80000000000001</v>
      </c>
      <c r="H83" s="186">
        <f>'Mast Arm Capacity'!D17</f>
        <v>116.80000000000001</v>
      </c>
      <c r="I83" s="186">
        <f>'Mast Arm Capacity'!E17</f>
        <v>112.60000000000001</v>
      </c>
      <c r="J83" s="186">
        <f>'Mast Arm Capacity'!F17</f>
        <v>69.600000000000009</v>
      </c>
      <c r="K83" s="186">
        <f>'Mast Arm Capacity'!G17</f>
        <v>69.600000000000009</v>
      </c>
      <c r="L83" s="186">
        <f>'Mast Arm Capacity'!H17</f>
        <v>0</v>
      </c>
      <c r="M83" s="186">
        <f>'Mast Arm Capacity'!I17</f>
        <v>0</v>
      </c>
      <c r="N83" s="186">
        <f>'Mast Arm Capacity'!J17</f>
        <v>0</v>
      </c>
      <c r="O83" s="186">
        <f>'Mast Arm Capacity'!K17</f>
        <v>0</v>
      </c>
      <c r="P83" s="187">
        <f>'Mast Arm Capacity'!L17</f>
        <v>0</v>
      </c>
      <c r="Q83" s="193">
        <f>'Mast Arm Capacity'!M17</f>
        <v>2928.5</v>
      </c>
      <c r="R83" s="186">
        <f>'Mast Arm Capacity'!N17</f>
        <v>1939.5</v>
      </c>
      <c r="S83" s="186">
        <f>'Mast Arm Capacity'!O17</f>
        <v>1355.5</v>
      </c>
      <c r="T83" s="186">
        <f>'Mast Arm Capacity'!P17</f>
        <v>782</v>
      </c>
      <c r="U83" s="186">
        <f>'Mast Arm Capacity'!Q17</f>
        <v>348</v>
      </c>
      <c r="V83" s="186">
        <f>'Mast Arm Capacity'!R17</f>
        <v>0</v>
      </c>
      <c r="W83" s="186">
        <f>'Mast Arm Capacity'!S17</f>
        <v>0</v>
      </c>
      <c r="X83" s="186">
        <f>'Mast Arm Capacity'!T17</f>
        <v>0</v>
      </c>
      <c r="Y83" s="186">
        <f>'Mast Arm Capacity'!U17</f>
        <v>0</v>
      </c>
      <c r="Z83" s="186">
        <f>'Mast Arm Capacity'!V17</f>
        <v>0</v>
      </c>
      <c r="AA83" s="194">
        <f>'Mast Arm Capacity'!W17</f>
        <v>0</v>
      </c>
      <c r="AB83" s="185">
        <f>'Mast Arm Capacity'!X17</f>
        <v>36.319999999999993</v>
      </c>
      <c r="AC83" s="186">
        <f>'Mast Arm Capacity'!Y17</f>
        <v>21.389999999999997</v>
      </c>
      <c r="AD83" s="186">
        <f>'Mast Arm Capacity'!Z17</f>
        <v>21.389999999999997</v>
      </c>
      <c r="AE83" s="186">
        <f>'Mast Arm Capacity'!AA17</f>
        <v>20.419999999999998</v>
      </c>
      <c r="AF83" s="186">
        <f>'Mast Arm Capacity'!AB17</f>
        <v>11.75</v>
      </c>
      <c r="AG83" s="186">
        <f>'Mast Arm Capacity'!AC17</f>
        <v>11.75</v>
      </c>
      <c r="AH83" s="186">
        <f>'Mast Arm Capacity'!AD17</f>
        <v>0</v>
      </c>
      <c r="AI83" s="186">
        <f>'Mast Arm Capacity'!AE17</f>
        <v>0</v>
      </c>
      <c r="AJ83" s="186">
        <f>'Mast Arm Capacity'!AF17</f>
        <v>0</v>
      </c>
      <c r="AK83" s="186">
        <f>'Mast Arm Capacity'!AG17</f>
        <v>0</v>
      </c>
      <c r="AL83" s="187">
        <f>'Mast Arm Capacity'!AH17</f>
        <v>0</v>
      </c>
      <c r="AM83" s="193">
        <f>'Mast Arm Capacity'!AI17</f>
        <v>520.45000000000005</v>
      </c>
      <c r="AN83" s="186">
        <f>'Mast Arm Capacity'!AJ17</f>
        <v>346.31499999999994</v>
      </c>
      <c r="AO83" s="186">
        <f>'Mast Arm Capacity'!AK17</f>
        <v>239.36500000000004</v>
      </c>
      <c r="AP83" s="186">
        <f>'Mast Arm Capacity'!AL17</f>
        <v>134.84</v>
      </c>
      <c r="AQ83" s="186">
        <f>'Mast Arm Capacity'!AM17</f>
        <v>58.75</v>
      </c>
      <c r="AR83" s="186">
        <f>'Mast Arm Capacity'!AN17</f>
        <v>0</v>
      </c>
      <c r="AS83" s="186">
        <f>'Mast Arm Capacity'!AO17</f>
        <v>0</v>
      </c>
      <c r="AT83" s="186">
        <f>'Mast Arm Capacity'!AP17</f>
        <v>0</v>
      </c>
      <c r="AU83" s="186">
        <f>'Mast Arm Capacity'!AQ17</f>
        <v>0</v>
      </c>
      <c r="AV83" s="186">
        <f>'Mast Arm Capacity'!AR17</f>
        <v>0</v>
      </c>
      <c r="AW83" s="194">
        <f>'Mast Arm Capacity'!AS17</f>
        <v>0</v>
      </c>
      <c r="AX83" s="185">
        <f>'Mast Arm Capacity'!AT17</f>
        <v>10.95</v>
      </c>
      <c r="AY83" s="186">
        <f>'Mast Arm Capacity'!AU17</f>
        <v>7.02</v>
      </c>
      <c r="AZ83" s="186">
        <f>'Mast Arm Capacity'!AV17</f>
        <v>7.02</v>
      </c>
      <c r="BA83" s="186">
        <f>'Mast Arm Capacity'!AW17</f>
        <v>6.05</v>
      </c>
      <c r="BB83" s="186">
        <f>'Mast Arm Capacity'!AX17</f>
        <v>4.5199999999999996</v>
      </c>
      <c r="BC83" s="186">
        <f>'Mast Arm Capacity'!AY17</f>
        <v>4.5199999999999996</v>
      </c>
      <c r="BD83" s="186">
        <f>'Mast Arm Capacity'!AZ17</f>
        <v>0</v>
      </c>
      <c r="BE83" s="186">
        <f>'Mast Arm Capacity'!BA17</f>
        <v>0</v>
      </c>
      <c r="BF83" s="186">
        <f>'Mast Arm Capacity'!BB17</f>
        <v>0</v>
      </c>
      <c r="BG83" s="186">
        <f>'Mast Arm Capacity'!BC17</f>
        <v>0</v>
      </c>
      <c r="BH83" s="187">
        <f>'Mast Arm Capacity'!BD17</f>
        <v>0</v>
      </c>
      <c r="BI83" s="185">
        <f>'Mast Arm Capacity'!BE17</f>
        <v>168.82</v>
      </c>
      <c r="BJ83" s="186">
        <f>'Mast Arm Capacity'!BF17</f>
        <v>116.035</v>
      </c>
      <c r="BK83" s="186">
        <f>'Mast Arm Capacity'!BG17</f>
        <v>80.934999999999988</v>
      </c>
      <c r="BL83" s="186">
        <f>'Mast Arm Capacity'!BH17</f>
        <v>48.260000000000005</v>
      </c>
      <c r="BM83" s="186">
        <f>'Mast Arm Capacity'!BI17</f>
        <v>22.6</v>
      </c>
      <c r="BN83" s="186">
        <f>'Mast Arm Capacity'!BJ17</f>
        <v>0</v>
      </c>
      <c r="BO83" s="186">
        <f>'Mast Arm Capacity'!BK17</f>
        <v>0</v>
      </c>
      <c r="BP83" s="186">
        <f>'Mast Arm Capacity'!BL17</f>
        <v>0</v>
      </c>
      <c r="BQ83" s="186">
        <f>'Mast Arm Capacity'!BM17</f>
        <v>0</v>
      </c>
      <c r="BR83" s="186">
        <f>'Mast Arm Capacity'!BN17</f>
        <v>0</v>
      </c>
      <c r="BS83" s="187">
        <f>'Mast Arm Capacity'!BO17</f>
        <v>0</v>
      </c>
    </row>
    <row r="84" spans="4:71" x14ac:dyDescent="0.2">
      <c r="D84" s="263"/>
      <c r="E84" s="230">
        <v>30</v>
      </c>
      <c r="F84" s="188">
        <f>'Mast Arm Capacity'!B18</f>
        <v>206.8</v>
      </c>
      <c r="G84" s="97">
        <f>'Mast Arm Capacity'!C18</f>
        <v>116.80000000000001</v>
      </c>
      <c r="H84" s="97">
        <f>'Mast Arm Capacity'!D18</f>
        <v>116.80000000000001</v>
      </c>
      <c r="I84" s="97">
        <f>'Mast Arm Capacity'!E18</f>
        <v>116.80000000000001</v>
      </c>
      <c r="J84" s="97">
        <f>'Mast Arm Capacity'!F18</f>
        <v>112.60000000000001</v>
      </c>
      <c r="K84" s="97">
        <f>'Mast Arm Capacity'!G18</f>
        <v>69.600000000000009</v>
      </c>
      <c r="L84" s="97">
        <f>'Mast Arm Capacity'!H18</f>
        <v>69.600000000000009</v>
      </c>
      <c r="M84" s="97">
        <f>'Mast Arm Capacity'!I18</f>
        <v>0</v>
      </c>
      <c r="N84" s="97">
        <f>'Mast Arm Capacity'!J18</f>
        <v>0</v>
      </c>
      <c r="O84" s="97">
        <f>'Mast Arm Capacity'!K18</f>
        <v>0</v>
      </c>
      <c r="P84" s="189">
        <f>'Mast Arm Capacity'!L18</f>
        <v>0</v>
      </c>
      <c r="Q84" s="195">
        <f>'Mast Arm Capacity'!M18</f>
        <v>3502</v>
      </c>
      <c r="R84" s="97">
        <f>'Mast Arm Capacity'!N18</f>
        <v>2513</v>
      </c>
      <c r="S84" s="97">
        <f>'Mast Arm Capacity'!O18</f>
        <v>1929</v>
      </c>
      <c r="T84" s="97">
        <f>'Mast Arm Capacity'!P18</f>
        <v>1345</v>
      </c>
      <c r="U84" s="97">
        <f>'Mast Arm Capacity'!Q18</f>
        <v>782</v>
      </c>
      <c r="V84" s="97">
        <f>'Mast Arm Capacity'!R18</f>
        <v>348</v>
      </c>
      <c r="W84" s="97">
        <f>'Mast Arm Capacity'!S18</f>
        <v>0</v>
      </c>
      <c r="X84" s="97">
        <f>'Mast Arm Capacity'!T18</f>
        <v>0</v>
      </c>
      <c r="Y84" s="97">
        <f>'Mast Arm Capacity'!U18</f>
        <v>0</v>
      </c>
      <c r="Z84" s="97">
        <f>'Mast Arm Capacity'!V18</f>
        <v>0</v>
      </c>
      <c r="AA84" s="196">
        <f>'Mast Arm Capacity'!W18</f>
        <v>0</v>
      </c>
      <c r="AB84" s="188">
        <f>'Mast Arm Capacity'!X18</f>
        <v>36.319999999999993</v>
      </c>
      <c r="AC84" s="97">
        <f>'Mast Arm Capacity'!Y18</f>
        <v>21.389999999999997</v>
      </c>
      <c r="AD84" s="97">
        <f>'Mast Arm Capacity'!Z18</f>
        <v>21.389999999999997</v>
      </c>
      <c r="AE84" s="97">
        <f>'Mast Arm Capacity'!AA18</f>
        <v>21.389999999999997</v>
      </c>
      <c r="AF84" s="97">
        <f>'Mast Arm Capacity'!AB18</f>
        <v>20.419999999999998</v>
      </c>
      <c r="AG84" s="97">
        <f>'Mast Arm Capacity'!AC18</f>
        <v>11.75</v>
      </c>
      <c r="AH84" s="97">
        <f>'Mast Arm Capacity'!AD18</f>
        <v>11.75</v>
      </c>
      <c r="AI84" s="97">
        <f>'Mast Arm Capacity'!AE18</f>
        <v>0</v>
      </c>
      <c r="AJ84" s="97">
        <f>'Mast Arm Capacity'!AF18</f>
        <v>0</v>
      </c>
      <c r="AK84" s="97">
        <f>'Mast Arm Capacity'!AG18</f>
        <v>0</v>
      </c>
      <c r="AL84" s="189">
        <f>'Mast Arm Capacity'!AH18</f>
        <v>0</v>
      </c>
      <c r="AM84" s="195">
        <f>'Mast Arm Capacity'!AI18</f>
        <v>624.97499999999991</v>
      </c>
      <c r="AN84" s="97">
        <f>'Mast Arm Capacity'!AJ18</f>
        <v>450.84</v>
      </c>
      <c r="AO84" s="97">
        <f>'Mast Arm Capacity'!AK18</f>
        <v>343.89</v>
      </c>
      <c r="AP84" s="97">
        <f>'Mast Arm Capacity'!AL18</f>
        <v>236.94000000000003</v>
      </c>
      <c r="AQ84" s="97">
        <f>'Mast Arm Capacity'!AM18</f>
        <v>134.84</v>
      </c>
      <c r="AR84" s="97">
        <f>'Mast Arm Capacity'!AN18</f>
        <v>58.75</v>
      </c>
      <c r="AS84" s="97">
        <f>'Mast Arm Capacity'!AO18</f>
        <v>0</v>
      </c>
      <c r="AT84" s="97">
        <f>'Mast Arm Capacity'!AP18</f>
        <v>0</v>
      </c>
      <c r="AU84" s="97">
        <f>'Mast Arm Capacity'!AQ18</f>
        <v>0</v>
      </c>
      <c r="AV84" s="97">
        <f>'Mast Arm Capacity'!AR18</f>
        <v>0</v>
      </c>
      <c r="AW84" s="196">
        <f>'Mast Arm Capacity'!AS18</f>
        <v>0</v>
      </c>
      <c r="AX84" s="188">
        <f>'Mast Arm Capacity'!AT18</f>
        <v>10.95</v>
      </c>
      <c r="AY84" s="97">
        <f>'Mast Arm Capacity'!AU18</f>
        <v>7.02</v>
      </c>
      <c r="AZ84" s="97">
        <f>'Mast Arm Capacity'!AV18</f>
        <v>7.02</v>
      </c>
      <c r="BA84" s="97">
        <f>'Mast Arm Capacity'!AW18</f>
        <v>7.02</v>
      </c>
      <c r="BB84" s="97">
        <f>'Mast Arm Capacity'!AX18</f>
        <v>6.05</v>
      </c>
      <c r="BC84" s="97">
        <f>'Mast Arm Capacity'!AY18</f>
        <v>4.5199999999999996</v>
      </c>
      <c r="BD84" s="97">
        <f>'Mast Arm Capacity'!AZ18</f>
        <v>4.5199999999999996</v>
      </c>
      <c r="BE84" s="97">
        <f>'Mast Arm Capacity'!BA18</f>
        <v>0</v>
      </c>
      <c r="BF84" s="97">
        <f>'Mast Arm Capacity'!BB18</f>
        <v>0</v>
      </c>
      <c r="BG84" s="97">
        <f>'Mast Arm Capacity'!BC18</f>
        <v>0</v>
      </c>
      <c r="BH84" s="189">
        <f>'Mast Arm Capacity'!BD18</f>
        <v>0</v>
      </c>
      <c r="BI84" s="188">
        <f>'Mast Arm Capacity'!BE18</f>
        <v>201.495</v>
      </c>
      <c r="BJ84" s="97">
        <f>'Mast Arm Capacity'!BF18</f>
        <v>148.70999999999998</v>
      </c>
      <c r="BK84" s="97">
        <f>'Mast Arm Capacity'!BG18</f>
        <v>113.60999999999999</v>
      </c>
      <c r="BL84" s="97">
        <f>'Mast Arm Capacity'!BH18</f>
        <v>78.509999999999991</v>
      </c>
      <c r="BM84" s="97">
        <f>'Mast Arm Capacity'!BI18</f>
        <v>48.260000000000005</v>
      </c>
      <c r="BN84" s="97">
        <f>'Mast Arm Capacity'!BJ18</f>
        <v>22.6</v>
      </c>
      <c r="BO84" s="97">
        <f>'Mast Arm Capacity'!BK18</f>
        <v>0</v>
      </c>
      <c r="BP84" s="97">
        <f>'Mast Arm Capacity'!BL18</f>
        <v>0</v>
      </c>
      <c r="BQ84" s="97">
        <f>'Mast Arm Capacity'!BM18</f>
        <v>0</v>
      </c>
      <c r="BR84" s="97">
        <f>'Mast Arm Capacity'!BN18</f>
        <v>0</v>
      </c>
      <c r="BS84" s="189">
        <f>'Mast Arm Capacity'!BO18</f>
        <v>0</v>
      </c>
    </row>
    <row r="85" spans="4:71" x14ac:dyDescent="0.2">
      <c r="D85" s="263"/>
      <c r="E85" s="230">
        <v>35</v>
      </c>
      <c r="F85" s="188">
        <f>'Mast Arm Capacity'!B19</f>
        <v>339.79999999999995</v>
      </c>
      <c r="G85" s="97">
        <f>'Mast Arm Capacity'!C19</f>
        <v>249.79999999999998</v>
      </c>
      <c r="H85" s="97">
        <f>'Mast Arm Capacity'!D19</f>
        <v>249.79999999999998</v>
      </c>
      <c r="I85" s="97">
        <f>'Mast Arm Capacity'!E19</f>
        <v>249.79999999999998</v>
      </c>
      <c r="J85" s="97">
        <f>'Mast Arm Capacity'!F19</f>
        <v>170.60000000000002</v>
      </c>
      <c r="K85" s="97">
        <f>'Mast Arm Capacity'!G19</f>
        <v>170.60000000000002</v>
      </c>
      <c r="L85" s="97">
        <f>'Mast Arm Capacity'!H19</f>
        <v>95.6</v>
      </c>
      <c r="M85" s="97">
        <f>'Mast Arm Capacity'!I19</f>
        <v>95.6</v>
      </c>
      <c r="N85" s="97">
        <f>'Mast Arm Capacity'!J19</f>
        <v>0</v>
      </c>
      <c r="O85" s="97">
        <f>'Mast Arm Capacity'!K19</f>
        <v>0</v>
      </c>
      <c r="P85" s="189">
        <f>'Mast Arm Capacity'!L19</f>
        <v>0</v>
      </c>
      <c r="Q85" s="195">
        <f>'Mast Arm Capacity'!M19</f>
        <v>7274.5</v>
      </c>
      <c r="R85" s="97">
        <f>'Mast Arm Capacity'!N19</f>
        <v>5620.5</v>
      </c>
      <c r="S85" s="97">
        <f>'Mast Arm Capacity'!O19</f>
        <v>4371.5</v>
      </c>
      <c r="T85" s="97">
        <f>'Mast Arm Capacity'!P19</f>
        <v>3122.5</v>
      </c>
      <c r="U85" s="97">
        <f>'Mast Arm Capacity'!Q19</f>
        <v>1959</v>
      </c>
      <c r="V85" s="97">
        <f>'Mast Arm Capacity'!R19</f>
        <v>1106</v>
      </c>
      <c r="W85" s="97">
        <f>'Mast Arm Capacity'!S19</f>
        <v>478</v>
      </c>
      <c r="X85" s="97">
        <f>'Mast Arm Capacity'!T19</f>
        <v>0</v>
      </c>
      <c r="Y85" s="97">
        <f>'Mast Arm Capacity'!U19</f>
        <v>0</v>
      </c>
      <c r="Z85" s="97">
        <f>'Mast Arm Capacity'!V19</f>
        <v>0</v>
      </c>
      <c r="AA85" s="196">
        <f>'Mast Arm Capacity'!W19</f>
        <v>0</v>
      </c>
      <c r="AB85" s="188">
        <f>'Mast Arm Capacity'!X19</f>
        <v>54.539999999999992</v>
      </c>
      <c r="AC85" s="97">
        <f>'Mast Arm Capacity'!Y19</f>
        <v>39.61</v>
      </c>
      <c r="AD85" s="97">
        <f>'Mast Arm Capacity'!Z19</f>
        <v>39.61</v>
      </c>
      <c r="AE85" s="97">
        <f>'Mast Arm Capacity'!AA19</f>
        <v>39.61</v>
      </c>
      <c r="AF85" s="97">
        <f>'Mast Arm Capacity'!AB19</f>
        <v>27.72</v>
      </c>
      <c r="AG85" s="97">
        <f>'Mast Arm Capacity'!AC19</f>
        <v>27.72</v>
      </c>
      <c r="AH85" s="97">
        <f>'Mast Arm Capacity'!AD19</f>
        <v>16.8</v>
      </c>
      <c r="AI85" s="97">
        <f>'Mast Arm Capacity'!AE19</f>
        <v>16.8</v>
      </c>
      <c r="AJ85" s="97">
        <f>'Mast Arm Capacity'!AF19</f>
        <v>0</v>
      </c>
      <c r="AK85" s="97">
        <f>'Mast Arm Capacity'!AG19</f>
        <v>0</v>
      </c>
      <c r="AL85" s="189">
        <f>'Mast Arm Capacity'!AH19</f>
        <v>0</v>
      </c>
      <c r="AM85" s="195">
        <f>'Mast Arm Capacity'!AI19</f>
        <v>1174.48</v>
      </c>
      <c r="AN85" s="97">
        <f>'Mast Arm Capacity'!AJ19</f>
        <v>909.24500000000012</v>
      </c>
      <c r="AO85" s="97">
        <f>'Mast Arm Capacity'!AK19</f>
        <v>711.19499999999994</v>
      </c>
      <c r="AP85" s="97">
        <f>'Mast Arm Capacity'!AL19</f>
        <v>513.14499999999998</v>
      </c>
      <c r="AQ85" s="97">
        <f>'Mast Arm Capacity'!AM19</f>
        <v>328.44</v>
      </c>
      <c r="AR85" s="97">
        <f>'Mast Arm Capacity'!AN19</f>
        <v>189.84000000000003</v>
      </c>
      <c r="AS85" s="97">
        <f>'Mast Arm Capacity'!AO19</f>
        <v>84</v>
      </c>
      <c r="AT85" s="97">
        <f>'Mast Arm Capacity'!AP19</f>
        <v>0</v>
      </c>
      <c r="AU85" s="97">
        <f>'Mast Arm Capacity'!AQ19</f>
        <v>0</v>
      </c>
      <c r="AV85" s="97">
        <f>'Mast Arm Capacity'!AR19</f>
        <v>0</v>
      </c>
      <c r="AW85" s="196">
        <f>'Mast Arm Capacity'!AS19</f>
        <v>0</v>
      </c>
      <c r="AX85" s="188">
        <f>'Mast Arm Capacity'!AT19</f>
        <v>15.409999999999998</v>
      </c>
      <c r="AY85" s="97">
        <f>'Mast Arm Capacity'!AU19</f>
        <v>11.479999999999999</v>
      </c>
      <c r="AZ85" s="97">
        <f>'Mast Arm Capacity'!AV19</f>
        <v>11.479999999999999</v>
      </c>
      <c r="BA85" s="97">
        <f>'Mast Arm Capacity'!AW19</f>
        <v>11.479999999999999</v>
      </c>
      <c r="BB85" s="97">
        <f>'Mast Arm Capacity'!AX19</f>
        <v>8.26</v>
      </c>
      <c r="BC85" s="97">
        <f>'Mast Arm Capacity'!AY19</f>
        <v>8.26</v>
      </c>
      <c r="BD85" s="97">
        <f>'Mast Arm Capacity'!AZ19</f>
        <v>6.01</v>
      </c>
      <c r="BE85" s="97">
        <f>'Mast Arm Capacity'!BA19</f>
        <v>6.01</v>
      </c>
      <c r="BF85" s="97">
        <f>'Mast Arm Capacity'!BB19</f>
        <v>0</v>
      </c>
      <c r="BG85" s="97">
        <f>'Mast Arm Capacity'!BC19</f>
        <v>0</v>
      </c>
      <c r="BH85" s="189">
        <f>'Mast Arm Capacity'!BD19</f>
        <v>0</v>
      </c>
      <c r="BI85" s="188">
        <f>'Mast Arm Capacity'!BE19</f>
        <v>348.51</v>
      </c>
      <c r="BJ85" s="97">
        <f>'Mast Arm Capacity'!BF19</f>
        <v>273.42499999999995</v>
      </c>
      <c r="BK85" s="97">
        <f>'Mast Arm Capacity'!BG19</f>
        <v>216.02500000000001</v>
      </c>
      <c r="BL85" s="97">
        <f>'Mast Arm Capacity'!BH19</f>
        <v>158.625</v>
      </c>
      <c r="BM85" s="97">
        <f>'Mast Arm Capacity'!BI19</f>
        <v>105.89999999999999</v>
      </c>
      <c r="BN85" s="97">
        <f>'Mast Arm Capacity'!BJ19</f>
        <v>64.599999999999994</v>
      </c>
      <c r="BO85" s="97">
        <f>'Mast Arm Capacity'!BK19</f>
        <v>30.049999999999997</v>
      </c>
      <c r="BP85" s="97">
        <f>'Mast Arm Capacity'!BL19</f>
        <v>0</v>
      </c>
      <c r="BQ85" s="97">
        <f>'Mast Arm Capacity'!BM19</f>
        <v>0</v>
      </c>
      <c r="BR85" s="97">
        <f>'Mast Arm Capacity'!BN19</f>
        <v>0</v>
      </c>
      <c r="BS85" s="189">
        <f>'Mast Arm Capacity'!BO19</f>
        <v>0</v>
      </c>
    </row>
    <row r="86" spans="4:71" x14ac:dyDescent="0.2">
      <c r="D86" s="263"/>
      <c r="E86" s="230">
        <v>40</v>
      </c>
      <c r="F86" s="188">
        <f>'Mast Arm Capacity'!B20</f>
        <v>339.79999999999995</v>
      </c>
      <c r="G86" s="97">
        <f>'Mast Arm Capacity'!C20</f>
        <v>249.79999999999998</v>
      </c>
      <c r="H86" s="97">
        <f>'Mast Arm Capacity'!D20</f>
        <v>249.79999999999998</v>
      </c>
      <c r="I86" s="97">
        <f>'Mast Arm Capacity'!E20</f>
        <v>249.79999999999998</v>
      </c>
      <c r="J86" s="97">
        <f>'Mast Arm Capacity'!F20</f>
        <v>249.79999999999998</v>
      </c>
      <c r="K86" s="97">
        <f>'Mast Arm Capacity'!G20</f>
        <v>170.60000000000002</v>
      </c>
      <c r="L86" s="97">
        <f>'Mast Arm Capacity'!H20</f>
        <v>170.60000000000002</v>
      </c>
      <c r="M86" s="97">
        <f>'Mast Arm Capacity'!I20</f>
        <v>95.6</v>
      </c>
      <c r="N86" s="97">
        <f>'Mast Arm Capacity'!J20</f>
        <v>95.6</v>
      </c>
      <c r="O86" s="97">
        <f>'Mast Arm Capacity'!K20</f>
        <v>0</v>
      </c>
      <c r="P86" s="189">
        <f>'Mast Arm Capacity'!L20</f>
        <v>0</v>
      </c>
      <c r="Q86" s="195">
        <f>'Mast Arm Capacity'!M20</f>
        <v>8513</v>
      </c>
      <c r="R86" s="97">
        <f>'Mast Arm Capacity'!N20</f>
        <v>6859</v>
      </c>
      <c r="S86" s="97">
        <f>'Mast Arm Capacity'!O20</f>
        <v>5610</v>
      </c>
      <c r="T86" s="97">
        <f>'Mast Arm Capacity'!P20</f>
        <v>4361</v>
      </c>
      <c r="U86" s="97">
        <f>'Mast Arm Capacity'!Q20</f>
        <v>3112</v>
      </c>
      <c r="V86" s="97">
        <f>'Mast Arm Capacity'!R20</f>
        <v>1959</v>
      </c>
      <c r="W86" s="97">
        <f>'Mast Arm Capacity'!S20</f>
        <v>1106</v>
      </c>
      <c r="X86" s="97">
        <f>'Mast Arm Capacity'!T20</f>
        <v>478</v>
      </c>
      <c r="Y86" s="97">
        <f>'Mast Arm Capacity'!U20</f>
        <v>0</v>
      </c>
      <c r="Z86" s="97">
        <f>'Mast Arm Capacity'!V20</f>
        <v>0</v>
      </c>
      <c r="AA86" s="196">
        <f>'Mast Arm Capacity'!W20</f>
        <v>0</v>
      </c>
      <c r="AB86" s="188">
        <f>'Mast Arm Capacity'!X20</f>
        <v>54.539999999999992</v>
      </c>
      <c r="AC86" s="97">
        <f>'Mast Arm Capacity'!Y20</f>
        <v>39.61</v>
      </c>
      <c r="AD86" s="97">
        <f>'Mast Arm Capacity'!Z20</f>
        <v>39.61</v>
      </c>
      <c r="AE86" s="97">
        <f>'Mast Arm Capacity'!AA20</f>
        <v>39.61</v>
      </c>
      <c r="AF86" s="97">
        <f>'Mast Arm Capacity'!AB20</f>
        <v>39.61</v>
      </c>
      <c r="AG86" s="97">
        <f>'Mast Arm Capacity'!AC20</f>
        <v>27.72</v>
      </c>
      <c r="AH86" s="97">
        <f>'Mast Arm Capacity'!AD20</f>
        <v>27.72</v>
      </c>
      <c r="AI86" s="97">
        <f>'Mast Arm Capacity'!AE20</f>
        <v>16.8</v>
      </c>
      <c r="AJ86" s="97">
        <f>'Mast Arm Capacity'!AF20</f>
        <v>16.8</v>
      </c>
      <c r="AK86" s="97">
        <f>'Mast Arm Capacity'!AG20</f>
        <v>0</v>
      </c>
      <c r="AL86" s="189">
        <f>'Mast Arm Capacity'!AH20</f>
        <v>0</v>
      </c>
      <c r="AM86" s="195">
        <f>'Mast Arm Capacity'!AI20</f>
        <v>1370.105</v>
      </c>
      <c r="AN86" s="97">
        <f>'Mast Arm Capacity'!AJ20</f>
        <v>1104.8699999999999</v>
      </c>
      <c r="AO86" s="97">
        <f>'Mast Arm Capacity'!AK20</f>
        <v>906.82</v>
      </c>
      <c r="AP86" s="97">
        <f>'Mast Arm Capacity'!AL20</f>
        <v>708.77</v>
      </c>
      <c r="AQ86" s="97">
        <f>'Mast Arm Capacity'!AM20</f>
        <v>510.72</v>
      </c>
      <c r="AR86" s="97">
        <f>'Mast Arm Capacity'!AN20</f>
        <v>328.44</v>
      </c>
      <c r="AS86" s="97">
        <f>'Mast Arm Capacity'!AO20</f>
        <v>189.84000000000003</v>
      </c>
      <c r="AT86" s="97">
        <f>'Mast Arm Capacity'!AP20</f>
        <v>84</v>
      </c>
      <c r="AU86" s="97">
        <f>'Mast Arm Capacity'!AQ20</f>
        <v>0</v>
      </c>
      <c r="AV86" s="97">
        <f>'Mast Arm Capacity'!AR20</f>
        <v>0</v>
      </c>
      <c r="AW86" s="196">
        <f>'Mast Arm Capacity'!AS20</f>
        <v>0</v>
      </c>
      <c r="AX86" s="188">
        <f>'Mast Arm Capacity'!AT20</f>
        <v>15.409999999999998</v>
      </c>
      <c r="AY86" s="97">
        <f>'Mast Arm Capacity'!AU20</f>
        <v>11.479999999999999</v>
      </c>
      <c r="AZ86" s="97">
        <f>'Mast Arm Capacity'!AV20</f>
        <v>11.479999999999999</v>
      </c>
      <c r="BA86" s="97">
        <f>'Mast Arm Capacity'!AW20</f>
        <v>11.479999999999999</v>
      </c>
      <c r="BB86" s="97">
        <f>'Mast Arm Capacity'!AX20</f>
        <v>11.479999999999999</v>
      </c>
      <c r="BC86" s="97">
        <f>'Mast Arm Capacity'!AY20</f>
        <v>8.26</v>
      </c>
      <c r="BD86" s="97">
        <f>'Mast Arm Capacity'!AZ20</f>
        <v>8.26</v>
      </c>
      <c r="BE86" s="97">
        <f>'Mast Arm Capacity'!BA20</f>
        <v>6.01</v>
      </c>
      <c r="BF86" s="97">
        <f>'Mast Arm Capacity'!BB20</f>
        <v>6.01</v>
      </c>
      <c r="BG86" s="97">
        <f>'Mast Arm Capacity'!BC20</f>
        <v>0</v>
      </c>
      <c r="BH86" s="189">
        <f>'Mast Arm Capacity'!BD20</f>
        <v>0</v>
      </c>
      <c r="BI86" s="188">
        <f>'Mast Arm Capacity'!BE20</f>
        <v>403.48500000000001</v>
      </c>
      <c r="BJ86" s="97">
        <f>'Mast Arm Capacity'!BF20</f>
        <v>328.4</v>
      </c>
      <c r="BK86" s="97">
        <f>'Mast Arm Capacity'!BG20</f>
        <v>271</v>
      </c>
      <c r="BL86" s="97">
        <f>'Mast Arm Capacity'!BH20</f>
        <v>213.6</v>
      </c>
      <c r="BM86" s="97">
        <f>'Mast Arm Capacity'!BI20</f>
        <v>156.20000000000002</v>
      </c>
      <c r="BN86" s="97">
        <f>'Mast Arm Capacity'!BJ20</f>
        <v>105.89999999999999</v>
      </c>
      <c r="BO86" s="97">
        <f>'Mast Arm Capacity'!BK20</f>
        <v>64.599999999999994</v>
      </c>
      <c r="BP86" s="97">
        <f>'Mast Arm Capacity'!BL20</f>
        <v>30.049999999999997</v>
      </c>
      <c r="BQ86" s="97">
        <f>'Mast Arm Capacity'!BM20</f>
        <v>0</v>
      </c>
      <c r="BR86" s="97">
        <f>'Mast Arm Capacity'!BN20</f>
        <v>0</v>
      </c>
      <c r="BS86" s="189">
        <f>'Mast Arm Capacity'!BO20</f>
        <v>0</v>
      </c>
    </row>
    <row r="87" spans="4:71" x14ac:dyDescent="0.2">
      <c r="D87" s="263"/>
      <c r="E87" s="230">
        <v>45</v>
      </c>
      <c r="F87" s="188">
        <f>'Mast Arm Capacity'!B21</f>
        <v>339.79999999999995</v>
      </c>
      <c r="G87" s="97">
        <f>'Mast Arm Capacity'!C21</f>
        <v>249.79999999999998</v>
      </c>
      <c r="H87" s="97">
        <f>'Mast Arm Capacity'!D21</f>
        <v>249.79999999999998</v>
      </c>
      <c r="I87" s="97">
        <f>'Mast Arm Capacity'!E21</f>
        <v>249.79999999999998</v>
      </c>
      <c r="J87" s="97">
        <f>'Mast Arm Capacity'!F21</f>
        <v>249.79999999999998</v>
      </c>
      <c r="K87" s="97">
        <f>'Mast Arm Capacity'!G21</f>
        <v>245.6</v>
      </c>
      <c r="L87" s="97">
        <f>'Mast Arm Capacity'!H21</f>
        <v>170.60000000000002</v>
      </c>
      <c r="M87" s="97">
        <f>'Mast Arm Capacity'!I21</f>
        <v>170.60000000000002</v>
      </c>
      <c r="N87" s="97">
        <f>'Mast Arm Capacity'!J21</f>
        <v>95.6</v>
      </c>
      <c r="O87" s="97">
        <f>'Mast Arm Capacity'!K21</f>
        <v>95.6</v>
      </c>
      <c r="P87" s="189">
        <f>'Mast Arm Capacity'!L21</f>
        <v>0</v>
      </c>
      <c r="Q87" s="195">
        <f>'Mast Arm Capacity'!M21</f>
        <v>9751.5</v>
      </c>
      <c r="R87" s="97">
        <f>'Mast Arm Capacity'!N21</f>
        <v>8097.5</v>
      </c>
      <c r="S87" s="97">
        <f>'Mast Arm Capacity'!O21</f>
        <v>6848.5</v>
      </c>
      <c r="T87" s="97">
        <f>'Mast Arm Capacity'!P21</f>
        <v>5599.5</v>
      </c>
      <c r="U87" s="97">
        <f>'Mast Arm Capacity'!Q21</f>
        <v>4350.5</v>
      </c>
      <c r="V87" s="97">
        <f>'Mast Arm Capacity'!R21</f>
        <v>3112</v>
      </c>
      <c r="W87" s="97">
        <f>'Mast Arm Capacity'!S21</f>
        <v>1959</v>
      </c>
      <c r="X87" s="97">
        <f>'Mast Arm Capacity'!T21</f>
        <v>1106</v>
      </c>
      <c r="Y87" s="97">
        <f>'Mast Arm Capacity'!U21</f>
        <v>478</v>
      </c>
      <c r="Z87" s="97">
        <f>'Mast Arm Capacity'!V21</f>
        <v>0</v>
      </c>
      <c r="AA87" s="196">
        <f>'Mast Arm Capacity'!W21</f>
        <v>0</v>
      </c>
      <c r="AB87" s="188">
        <f>'Mast Arm Capacity'!X21</f>
        <v>54.539999999999992</v>
      </c>
      <c r="AC87" s="97">
        <f>'Mast Arm Capacity'!Y21</f>
        <v>39.61</v>
      </c>
      <c r="AD87" s="97">
        <f>'Mast Arm Capacity'!Z21</f>
        <v>39.61</v>
      </c>
      <c r="AE87" s="97">
        <f>'Mast Arm Capacity'!AA21</f>
        <v>39.61</v>
      </c>
      <c r="AF87" s="97">
        <f>'Mast Arm Capacity'!AB21</f>
        <v>39.61</v>
      </c>
      <c r="AG87" s="97">
        <f>'Mast Arm Capacity'!AC21</f>
        <v>38.64</v>
      </c>
      <c r="AH87" s="97">
        <f>'Mast Arm Capacity'!AD21</f>
        <v>27.72</v>
      </c>
      <c r="AI87" s="97">
        <f>'Mast Arm Capacity'!AE21</f>
        <v>27.72</v>
      </c>
      <c r="AJ87" s="97">
        <f>'Mast Arm Capacity'!AF21</f>
        <v>16.8</v>
      </c>
      <c r="AK87" s="97">
        <f>'Mast Arm Capacity'!AG21</f>
        <v>16.8</v>
      </c>
      <c r="AL87" s="189">
        <f>'Mast Arm Capacity'!AH21</f>
        <v>0</v>
      </c>
      <c r="AM87" s="195">
        <f>'Mast Arm Capacity'!AI21</f>
        <v>1565.73</v>
      </c>
      <c r="AN87" s="97">
        <f>'Mast Arm Capacity'!AJ21</f>
        <v>1300.4949999999999</v>
      </c>
      <c r="AO87" s="97">
        <f>'Mast Arm Capacity'!AK21</f>
        <v>1102.4450000000002</v>
      </c>
      <c r="AP87" s="97">
        <f>'Mast Arm Capacity'!AL21</f>
        <v>904.39499999999998</v>
      </c>
      <c r="AQ87" s="97">
        <f>'Mast Arm Capacity'!AM21</f>
        <v>706.34500000000003</v>
      </c>
      <c r="AR87" s="97">
        <f>'Mast Arm Capacity'!AN21</f>
        <v>510.72</v>
      </c>
      <c r="AS87" s="97">
        <f>'Mast Arm Capacity'!AO21</f>
        <v>328.44</v>
      </c>
      <c r="AT87" s="97">
        <f>'Mast Arm Capacity'!AP21</f>
        <v>189.84000000000003</v>
      </c>
      <c r="AU87" s="97">
        <f>'Mast Arm Capacity'!AQ21</f>
        <v>84</v>
      </c>
      <c r="AV87" s="97">
        <f>'Mast Arm Capacity'!AR21</f>
        <v>0</v>
      </c>
      <c r="AW87" s="196">
        <f>'Mast Arm Capacity'!AS21</f>
        <v>0</v>
      </c>
      <c r="AX87" s="188">
        <f>'Mast Arm Capacity'!AT21</f>
        <v>15.409999999999998</v>
      </c>
      <c r="AY87" s="97">
        <f>'Mast Arm Capacity'!AU21</f>
        <v>11.479999999999999</v>
      </c>
      <c r="AZ87" s="97">
        <f>'Mast Arm Capacity'!AV21</f>
        <v>11.479999999999999</v>
      </c>
      <c r="BA87" s="97">
        <f>'Mast Arm Capacity'!AW21</f>
        <v>11.479999999999999</v>
      </c>
      <c r="BB87" s="97">
        <f>'Mast Arm Capacity'!AX21</f>
        <v>11.479999999999999</v>
      </c>
      <c r="BC87" s="97">
        <f>'Mast Arm Capacity'!AY21</f>
        <v>10.51</v>
      </c>
      <c r="BD87" s="97">
        <f>'Mast Arm Capacity'!AZ21</f>
        <v>8.26</v>
      </c>
      <c r="BE87" s="97">
        <f>'Mast Arm Capacity'!BA21</f>
        <v>8.26</v>
      </c>
      <c r="BF87" s="97">
        <f>'Mast Arm Capacity'!BB21</f>
        <v>6.01</v>
      </c>
      <c r="BG87" s="97">
        <f>'Mast Arm Capacity'!BC21</f>
        <v>6.01</v>
      </c>
      <c r="BH87" s="189">
        <f>'Mast Arm Capacity'!BD21</f>
        <v>0</v>
      </c>
      <c r="BI87" s="188">
        <f>'Mast Arm Capacity'!BE21</f>
        <v>458.46000000000004</v>
      </c>
      <c r="BJ87" s="97">
        <f>'Mast Arm Capacity'!BF21</f>
        <v>383.37500000000006</v>
      </c>
      <c r="BK87" s="97">
        <f>'Mast Arm Capacity'!BG21</f>
        <v>325.97499999999997</v>
      </c>
      <c r="BL87" s="97">
        <f>'Mast Arm Capacity'!BH21</f>
        <v>268.57499999999999</v>
      </c>
      <c r="BM87" s="97">
        <f>'Mast Arm Capacity'!BI21</f>
        <v>211.17500000000001</v>
      </c>
      <c r="BN87" s="97">
        <f>'Mast Arm Capacity'!BJ21</f>
        <v>156.20000000000002</v>
      </c>
      <c r="BO87" s="97">
        <f>'Mast Arm Capacity'!BK21</f>
        <v>105.89999999999999</v>
      </c>
      <c r="BP87" s="97">
        <f>'Mast Arm Capacity'!BL21</f>
        <v>64.599999999999994</v>
      </c>
      <c r="BQ87" s="97">
        <f>'Mast Arm Capacity'!BM21</f>
        <v>30.049999999999997</v>
      </c>
      <c r="BR87" s="97">
        <f>'Mast Arm Capacity'!BN21</f>
        <v>0</v>
      </c>
      <c r="BS87" s="189">
        <f>'Mast Arm Capacity'!BO21</f>
        <v>0</v>
      </c>
    </row>
    <row r="88" spans="4:71" ht="13.5" thickBot="1" x14ac:dyDescent="0.25">
      <c r="D88" s="264"/>
      <c r="E88" s="231">
        <v>50</v>
      </c>
      <c r="F88" s="190">
        <f>'Mast Arm Capacity'!B22</f>
        <v>414.79999999999995</v>
      </c>
      <c r="G88" s="191">
        <f>'Mast Arm Capacity'!C22</f>
        <v>324.79999999999995</v>
      </c>
      <c r="H88" s="191">
        <f>'Mast Arm Capacity'!D22</f>
        <v>324.79999999999995</v>
      </c>
      <c r="I88" s="191">
        <f>'Mast Arm Capacity'!E22</f>
        <v>324.79999999999995</v>
      </c>
      <c r="J88" s="191">
        <f>'Mast Arm Capacity'!F22</f>
        <v>324.79999999999995</v>
      </c>
      <c r="K88" s="191">
        <f>'Mast Arm Capacity'!G22</f>
        <v>324.79999999999995</v>
      </c>
      <c r="L88" s="191">
        <f>'Mast Arm Capacity'!H22</f>
        <v>245.6</v>
      </c>
      <c r="M88" s="191">
        <f>'Mast Arm Capacity'!I22</f>
        <v>170.60000000000002</v>
      </c>
      <c r="N88" s="191">
        <f>'Mast Arm Capacity'!J22</f>
        <v>170.60000000000002</v>
      </c>
      <c r="O88" s="191">
        <f>'Mast Arm Capacity'!K22</f>
        <v>95.6</v>
      </c>
      <c r="P88" s="192">
        <f>'Mast Arm Capacity'!L22</f>
        <v>95.6</v>
      </c>
      <c r="Q88" s="197">
        <f>'Mast Arm Capacity'!M22</f>
        <v>12940</v>
      </c>
      <c r="R88" s="191">
        <f>'Mast Arm Capacity'!N22</f>
        <v>10911</v>
      </c>
      <c r="S88" s="191">
        <f>'Mast Arm Capacity'!O22</f>
        <v>9287</v>
      </c>
      <c r="T88" s="191">
        <f>'Mast Arm Capacity'!P22</f>
        <v>7663</v>
      </c>
      <c r="U88" s="191">
        <f>'Mast Arm Capacity'!Q22</f>
        <v>6039</v>
      </c>
      <c r="V88" s="191">
        <f>'Mast Arm Capacity'!R22</f>
        <v>4415</v>
      </c>
      <c r="W88" s="191">
        <f>'Mast Arm Capacity'!S22</f>
        <v>3112</v>
      </c>
      <c r="X88" s="191">
        <f>'Mast Arm Capacity'!T22</f>
        <v>1959</v>
      </c>
      <c r="Y88" s="191">
        <f>'Mast Arm Capacity'!U22</f>
        <v>1106</v>
      </c>
      <c r="Z88" s="191">
        <f>'Mast Arm Capacity'!V22</f>
        <v>478</v>
      </c>
      <c r="AA88" s="198">
        <f>'Mast Arm Capacity'!W22</f>
        <v>0</v>
      </c>
      <c r="AB88" s="190">
        <f>'Mast Arm Capacity'!X22</f>
        <v>65.459999999999994</v>
      </c>
      <c r="AC88" s="191">
        <f>'Mast Arm Capacity'!Y22</f>
        <v>50.53</v>
      </c>
      <c r="AD88" s="191">
        <f>'Mast Arm Capacity'!Z22</f>
        <v>50.53</v>
      </c>
      <c r="AE88" s="191">
        <f>'Mast Arm Capacity'!AA22</f>
        <v>50.53</v>
      </c>
      <c r="AF88" s="191">
        <f>'Mast Arm Capacity'!AB22</f>
        <v>50.53</v>
      </c>
      <c r="AG88" s="191">
        <f>'Mast Arm Capacity'!AC22</f>
        <v>50.53</v>
      </c>
      <c r="AH88" s="191">
        <f>'Mast Arm Capacity'!AD22</f>
        <v>38.64</v>
      </c>
      <c r="AI88" s="191">
        <f>'Mast Arm Capacity'!AE22</f>
        <v>27.72</v>
      </c>
      <c r="AJ88" s="191">
        <f>'Mast Arm Capacity'!AF22</f>
        <v>27.72</v>
      </c>
      <c r="AK88" s="191">
        <f>'Mast Arm Capacity'!AG22</f>
        <v>16.8</v>
      </c>
      <c r="AL88" s="192">
        <f>'Mast Arm Capacity'!AH22</f>
        <v>16.8</v>
      </c>
      <c r="AM88" s="197">
        <f>'Mast Arm Capacity'!AI22</f>
        <v>2045.2750000000001</v>
      </c>
      <c r="AN88" s="191">
        <f>'Mast Arm Capacity'!AJ22</f>
        <v>1725.4399999999998</v>
      </c>
      <c r="AO88" s="191">
        <f>'Mast Arm Capacity'!AK22</f>
        <v>1472.79</v>
      </c>
      <c r="AP88" s="191">
        <f>'Mast Arm Capacity'!AL22</f>
        <v>1220.1399999999999</v>
      </c>
      <c r="AQ88" s="191">
        <f>'Mast Arm Capacity'!AM22</f>
        <v>967.49</v>
      </c>
      <c r="AR88" s="191">
        <f>'Mast Arm Capacity'!AN22</f>
        <v>714.83999999999992</v>
      </c>
      <c r="AS88" s="191">
        <f>'Mast Arm Capacity'!AO22</f>
        <v>510.72</v>
      </c>
      <c r="AT88" s="191">
        <f>'Mast Arm Capacity'!AP22</f>
        <v>328.44</v>
      </c>
      <c r="AU88" s="191">
        <f>'Mast Arm Capacity'!AQ22</f>
        <v>189.84000000000003</v>
      </c>
      <c r="AV88" s="191">
        <f>'Mast Arm Capacity'!AR22</f>
        <v>84</v>
      </c>
      <c r="AW88" s="198">
        <f>'Mast Arm Capacity'!AS22</f>
        <v>0</v>
      </c>
      <c r="AX88" s="190">
        <f>'Mast Arm Capacity'!AT22</f>
        <v>17.659999999999997</v>
      </c>
      <c r="AY88" s="191">
        <f>'Mast Arm Capacity'!AU22</f>
        <v>13.729999999999999</v>
      </c>
      <c r="AZ88" s="191">
        <f>'Mast Arm Capacity'!AV22</f>
        <v>13.729999999999999</v>
      </c>
      <c r="BA88" s="191">
        <f>'Mast Arm Capacity'!AW22</f>
        <v>13.729999999999999</v>
      </c>
      <c r="BB88" s="191">
        <f>'Mast Arm Capacity'!AX22</f>
        <v>13.729999999999999</v>
      </c>
      <c r="BC88" s="191">
        <f>'Mast Arm Capacity'!AY22</f>
        <v>13.729999999999999</v>
      </c>
      <c r="BD88" s="191">
        <f>'Mast Arm Capacity'!AZ22</f>
        <v>10.51</v>
      </c>
      <c r="BE88" s="191">
        <f>'Mast Arm Capacity'!BA22</f>
        <v>8.26</v>
      </c>
      <c r="BF88" s="191">
        <f>'Mast Arm Capacity'!BB22</f>
        <v>8.26</v>
      </c>
      <c r="BG88" s="191">
        <f>'Mast Arm Capacity'!BC22</f>
        <v>6.01</v>
      </c>
      <c r="BH88" s="192">
        <f>'Mast Arm Capacity'!BD22</f>
        <v>6.01</v>
      </c>
      <c r="BI88" s="190">
        <f>'Mast Arm Capacity'!BE22</f>
        <v>571.93499999999995</v>
      </c>
      <c r="BJ88" s="191">
        <f>'Mast Arm Capacity'!BF22</f>
        <v>485.6</v>
      </c>
      <c r="BK88" s="191">
        <f>'Mast Arm Capacity'!BG22</f>
        <v>416.95000000000005</v>
      </c>
      <c r="BL88" s="191">
        <f>'Mast Arm Capacity'!BH22</f>
        <v>348.29999999999995</v>
      </c>
      <c r="BM88" s="191">
        <f>'Mast Arm Capacity'!BI22</f>
        <v>279.64999999999998</v>
      </c>
      <c r="BN88" s="191">
        <f>'Mast Arm Capacity'!BJ22</f>
        <v>211</v>
      </c>
      <c r="BO88" s="191">
        <f>'Mast Arm Capacity'!BK22</f>
        <v>156.20000000000002</v>
      </c>
      <c r="BP88" s="191">
        <f>'Mast Arm Capacity'!BL22</f>
        <v>105.89999999999999</v>
      </c>
      <c r="BQ88" s="191">
        <f>'Mast Arm Capacity'!BM22</f>
        <v>64.599999999999994</v>
      </c>
      <c r="BR88" s="191">
        <f>'Mast Arm Capacity'!BN22</f>
        <v>30.049999999999997</v>
      </c>
      <c r="BS88" s="192">
        <f>'Mast Arm Capacity'!BO22</f>
        <v>0</v>
      </c>
    </row>
    <row r="89" spans="4:71" x14ac:dyDescent="0.2">
      <c r="D89" s="259" t="s">
        <v>340</v>
      </c>
      <c r="E89" s="229">
        <v>25</v>
      </c>
      <c r="F89" s="185">
        <f t="shared" ref="F89:P89" si="32">IF(AND(F$77=0,F83=0),0,IF(F83=0,"NA",F$77/F83))</f>
        <v>0</v>
      </c>
      <c r="G89" s="186">
        <f t="shared" si="32"/>
        <v>0</v>
      </c>
      <c r="H89" s="186">
        <f t="shared" si="32"/>
        <v>0</v>
      </c>
      <c r="I89" s="186">
        <f t="shared" si="32"/>
        <v>0</v>
      </c>
      <c r="J89" s="186">
        <f t="shared" si="32"/>
        <v>0</v>
      </c>
      <c r="K89" s="186">
        <f t="shared" si="32"/>
        <v>0</v>
      </c>
      <c r="L89" s="186">
        <f>IF(AND(L$77=0,L83=0),0,IF(L83=0,"NA",L$77/L83))</f>
        <v>0</v>
      </c>
      <c r="M89" s="186">
        <f t="shared" si="32"/>
        <v>0</v>
      </c>
      <c r="N89" s="186">
        <f t="shared" si="32"/>
        <v>0</v>
      </c>
      <c r="O89" s="186">
        <f t="shared" si="32"/>
        <v>0</v>
      </c>
      <c r="P89" s="187">
        <f t="shared" si="32"/>
        <v>0</v>
      </c>
      <c r="Q89" s="193">
        <f t="shared" ref="Q89:BS89" si="33">IF(AND(Q$77=0,Q83=0),0,IF(Q83=0,"NA",Q$77/Q83))</f>
        <v>0</v>
      </c>
      <c r="R89" s="186">
        <f t="shared" si="33"/>
        <v>0</v>
      </c>
      <c r="S89" s="186">
        <f t="shared" si="33"/>
        <v>0</v>
      </c>
      <c r="T89" s="186">
        <f t="shared" si="33"/>
        <v>0</v>
      </c>
      <c r="U89" s="186">
        <f t="shared" si="33"/>
        <v>0</v>
      </c>
      <c r="V89" s="186">
        <f t="shared" si="33"/>
        <v>0</v>
      </c>
      <c r="W89" s="186">
        <f t="shared" si="33"/>
        <v>0</v>
      </c>
      <c r="X89" s="186">
        <f t="shared" si="33"/>
        <v>0</v>
      </c>
      <c r="Y89" s="186">
        <f t="shared" si="33"/>
        <v>0</v>
      </c>
      <c r="Z89" s="186">
        <f t="shared" si="33"/>
        <v>0</v>
      </c>
      <c r="AA89" s="194">
        <f t="shared" si="33"/>
        <v>0</v>
      </c>
      <c r="AB89" s="185">
        <f t="shared" si="33"/>
        <v>0</v>
      </c>
      <c r="AC89" s="186">
        <f t="shared" si="33"/>
        <v>0</v>
      </c>
      <c r="AD89" s="186">
        <f t="shared" si="33"/>
        <v>0</v>
      </c>
      <c r="AE89" s="186">
        <f t="shared" si="33"/>
        <v>0</v>
      </c>
      <c r="AF89" s="186">
        <f t="shared" si="33"/>
        <v>0</v>
      </c>
      <c r="AG89" s="186">
        <f t="shared" si="33"/>
        <v>0</v>
      </c>
      <c r="AH89" s="186">
        <f t="shared" si="33"/>
        <v>0</v>
      </c>
      <c r="AI89" s="186">
        <f t="shared" si="33"/>
        <v>0</v>
      </c>
      <c r="AJ89" s="186">
        <f t="shared" si="33"/>
        <v>0</v>
      </c>
      <c r="AK89" s="186">
        <f t="shared" si="33"/>
        <v>0</v>
      </c>
      <c r="AL89" s="187">
        <f t="shared" si="33"/>
        <v>0</v>
      </c>
      <c r="AM89" s="193">
        <f t="shared" si="33"/>
        <v>0</v>
      </c>
      <c r="AN89" s="186">
        <f t="shared" si="33"/>
        <v>0</v>
      </c>
      <c r="AO89" s="186">
        <f t="shared" si="33"/>
        <v>0</v>
      </c>
      <c r="AP89" s="186">
        <f t="shared" si="33"/>
        <v>0</v>
      </c>
      <c r="AQ89" s="186">
        <f t="shared" si="33"/>
        <v>0</v>
      </c>
      <c r="AR89" s="186">
        <f t="shared" si="33"/>
        <v>0</v>
      </c>
      <c r="AS89" s="186">
        <f t="shared" si="33"/>
        <v>0</v>
      </c>
      <c r="AT89" s="186">
        <f t="shared" si="33"/>
        <v>0</v>
      </c>
      <c r="AU89" s="186">
        <f t="shared" si="33"/>
        <v>0</v>
      </c>
      <c r="AV89" s="186">
        <f t="shared" si="33"/>
        <v>0</v>
      </c>
      <c r="AW89" s="194">
        <f t="shared" si="33"/>
        <v>0</v>
      </c>
      <c r="AX89" s="185">
        <f t="shared" si="33"/>
        <v>0</v>
      </c>
      <c r="AY89" s="186">
        <f t="shared" si="33"/>
        <v>0</v>
      </c>
      <c r="AZ89" s="186">
        <f t="shared" si="33"/>
        <v>0</v>
      </c>
      <c r="BA89" s="186">
        <f t="shared" si="33"/>
        <v>0</v>
      </c>
      <c r="BB89" s="186">
        <f t="shared" si="33"/>
        <v>0</v>
      </c>
      <c r="BC89" s="186">
        <f t="shared" si="33"/>
        <v>0</v>
      </c>
      <c r="BD89" s="186">
        <f t="shared" si="33"/>
        <v>0</v>
      </c>
      <c r="BE89" s="186">
        <f t="shared" si="33"/>
        <v>0</v>
      </c>
      <c r="BF89" s="186">
        <f t="shared" si="33"/>
        <v>0</v>
      </c>
      <c r="BG89" s="186">
        <f t="shared" si="33"/>
        <v>0</v>
      </c>
      <c r="BH89" s="187">
        <f t="shared" si="33"/>
        <v>0</v>
      </c>
      <c r="BI89" s="185">
        <f t="shared" si="33"/>
        <v>0</v>
      </c>
      <c r="BJ89" s="186">
        <f t="shared" si="33"/>
        <v>0</v>
      </c>
      <c r="BK89" s="186">
        <f t="shared" si="33"/>
        <v>0</v>
      </c>
      <c r="BL89" s="186">
        <f t="shared" si="33"/>
        <v>0</v>
      </c>
      <c r="BM89" s="186">
        <f t="shared" si="33"/>
        <v>0</v>
      </c>
      <c r="BN89" s="186">
        <f t="shared" si="33"/>
        <v>0</v>
      </c>
      <c r="BO89" s="186">
        <f t="shared" si="33"/>
        <v>0</v>
      </c>
      <c r="BP89" s="186">
        <f t="shared" si="33"/>
        <v>0</v>
      </c>
      <c r="BQ89" s="186">
        <f t="shared" si="33"/>
        <v>0</v>
      </c>
      <c r="BR89" s="186">
        <f t="shared" si="33"/>
        <v>0</v>
      </c>
      <c r="BS89" s="187">
        <f t="shared" si="33"/>
        <v>0</v>
      </c>
    </row>
    <row r="90" spans="4:71" x14ac:dyDescent="0.2">
      <c r="D90" s="260"/>
      <c r="E90" s="230">
        <v>30</v>
      </c>
      <c r="F90" s="188">
        <f t="shared" ref="F90:P90" si="34">IF(AND(F$77=0,F84=0),0,IF(F84=0,"NA",F$77/F84))</f>
        <v>0</v>
      </c>
      <c r="G90" s="97">
        <f t="shared" si="34"/>
        <v>0</v>
      </c>
      <c r="H90" s="97">
        <f t="shared" si="34"/>
        <v>0</v>
      </c>
      <c r="I90" s="97">
        <f t="shared" si="34"/>
        <v>0</v>
      </c>
      <c r="J90" s="97">
        <f t="shared" si="34"/>
        <v>0</v>
      </c>
      <c r="K90" s="97">
        <f t="shared" si="34"/>
        <v>0</v>
      </c>
      <c r="L90" s="97">
        <f t="shared" si="34"/>
        <v>0</v>
      </c>
      <c r="M90" s="97">
        <f t="shared" si="34"/>
        <v>0</v>
      </c>
      <c r="N90" s="97">
        <f t="shared" si="34"/>
        <v>0</v>
      </c>
      <c r="O90" s="97">
        <f t="shared" si="34"/>
        <v>0</v>
      </c>
      <c r="P90" s="189">
        <f t="shared" si="34"/>
        <v>0</v>
      </c>
      <c r="Q90" s="195">
        <f t="shared" ref="Q90:BS90" si="35">IF(AND(Q$77=0,Q84=0),0,IF(Q84=0,"NA",Q$77/Q84))</f>
        <v>0</v>
      </c>
      <c r="R90" s="97">
        <f t="shared" si="35"/>
        <v>0</v>
      </c>
      <c r="S90" s="97">
        <f t="shared" si="35"/>
        <v>0</v>
      </c>
      <c r="T90" s="97">
        <f t="shared" si="35"/>
        <v>0</v>
      </c>
      <c r="U90" s="97">
        <f t="shared" si="35"/>
        <v>0</v>
      </c>
      <c r="V90" s="97">
        <f t="shared" si="35"/>
        <v>0</v>
      </c>
      <c r="W90" s="97">
        <f t="shared" si="35"/>
        <v>0</v>
      </c>
      <c r="X90" s="97">
        <f t="shared" si="35"/>
        <v>0</v>
      </c>
      <c r="Y90" s="97">
        <f t="shared" si="35"/>
        <v>0</v>
      </c>
      <c r="Z90" s="97">
        <f t="shared" si="35"/>
        <v>0</v>
      </c>
      <c r="AA90" s="196">
        <f t="shared" si="35"/>
        <v>0</v>
      </c>
      <c r="AB90" s="188">
        <f>IF(AND(AB$77=0,AB84=0),0,IF(AB84=0,"NA",AB$77/AB84))</f>
        <v>0</v>
      </c>
      <c r="AC90" s="97">
        <f t="shared" si="35"/>
        <v>0</v>
      </c>
      <c r="AD90" s="97">
        <f t="shared" si="35"/>
        <v>0</v>
      </c>
      <c r="AE90" s="97">
        <f t="shared" si="35"/>
        <v>0</v>
      </c>
      <c r="AF90" s="97">
        <f t="shared" si="35"/>
        <v>0</v>
      </c>
      <c r="AG90" s="97">
        <f t="shared" si="35"/>
        <v>0</v>
      </c>
      <c r="AH90" s="97">
        <f t="shared" si="35"/>
        <v>0</v>
      </c>
      <c r="AI90" s="97">
        <f t="shared" si="35"/>
        <v>0</v>
      </c>
      <c r="AJ90" s="97">
        <f t="shared" si="35"/>
        <v>0</v>
      </c>
      <c r="AK90" s="97">
        <f t="shared" si="35"/>
        <v>0</v>
      </c>
      <c r="AL90" s="189">
        <f t="shared" si="35"/>
        <v>0</v>
      </c>
      <c r="AM90" s="195">
        <f t="shared" si="35"/>
        <v>0</v>
      </c>
      <c r="AN90" s="97">
        <f t="shared" si="35"/>
        <v>0</v>
      </c>
      <c r="AO90" s="97">
        <f t="shared" si="35"/>
        <v>0</v>
      </c>
      <c r="AP90" s="97">
        <f t="shared" si="35"/>
        <v>0</v>
      </c>
      <c r="AQ90" s="97">
        <f t="shared" si="35"/>
        <v>0</v>
      </c>
      <c r="AR90" s="97">
        <f t="shared" si="35"/>
        <v>0</v>
      </c>
      <c r="AS90" s="97">
        <f t="shared" si="35"/>
        <v>0</v>
      </c>
      <c r="AT90" s="97">
        <f t="shared" si="35"/>
        <v>0</v>
      </c>
      <c r="AU90" s="97">
        <f t="shared" si="35"/>
        <v>0</v>
      </c>
      <c r="AV90" s="97">
        <f t="shared" si="35"/>
        <v>0</v>
      </c>
      <c r="AW90" s="196">
        <f t="shared" si="35"/>
        <v>0</v>
      </c>
      <c r="AX90" s="188">
        <f t="shared" si="35"/>
        <v>0</v>
      </c>
      <c r="AY90" s="97">
        <f t="shared" si="35"/>
        <v>0</v>
      </c>
      <c r="AZ90" s="97">
        <f t="shared" si="35"/>
        <v>0</v>
      </c>
      <c r="BA90" s="97">
        <f t="shared" si="35"/>
        <v>0</v>
      </c>
      <c r="BB90" s="97">
        <f t="shared" si="35"/>
        <v>0</v>
      </c>
      <c r="BC90" s="97">
        <f t="shared" si="35"/>
        <v>0</v>
      </c>
      <c r="BD90" s="97">
        <f t="shared" si="35"/>
        <v>0</v>
      </c>
      <c r="BE90" s="97">
        <f t="shared" si="35"/>
        <v>0</v>
      </c>
      <c r="BF90" s="97">
        <f t="shared" si="35"/>
        <v>0</v>
      </c>
      <c r="BG90" s="97">
        <f t="shared" si="35"/>
        <v>0</v>
      </c>
      <c r="BH90" s="189">
        <f t="shared" si="35"/>
        <v>0</v>
      </c>
      <c r="BI90" s="188">
        <f t="shared" si="35"/>
        <v>0</v>
      </c>
      <c r="BJ90" s="97">
        <f t="shared" si="35"/>
        <v>0</v>
      </c>
      <c r="BK90" s="97">
        <f t="shared" si="35"/>
        <v>0</v>
      </c>
      <c r="BL90" s="97">
        <f t="shared" si="35"/>
        <v>0</v>
      </c>
      <c r="BM90" s="97">
        <f t="shared" si="35"/>
        <v>0</v>
      </c>
      <c r="BN90" s="97">
        <f t="shared" si="35"/>
        <v>0</v>
      </c>
      <c r="BO90" s="97">
        <f t="shared" si="35"/>
        <v>0</v>
      </c>
      <c r="BP90" s="97">
        <f t="shared" si="35"/>
        <v>0</v>
      </c>
      <c r="BQ90" s="97">
        <f t="shared" si="35"/>
        <v>0</v>
      </c>
      <c r="BR90" s="97">
        <f t="shared" si="35"/>
        <v>0</v>
      </c>
      <c r="BS90" s="189">
        <f t="shared" si="35"/>
        <v>0</v>
      </c>
    </row>
    <row r="91" spans="4:71" x14ac:dyDescent="0.2">
      <c r="D91" s="260"/>
      <c r="E91" s="230">
        <v>35</v>
      </c>
      <c r="F91" s="188">
        <f t="shared" ref="F91:P91" si="36">IF(AND(F$77=0,F85=0),0,IF(F85=0,"NA",F$77/F85))</f>
        <v>0</v>
      </c>
      <c r="G91" s="97">
        <f t="shared" si="36"/>
        <v>0</v>
      </c>
      <c r="H91" s="97">
        <f t="shared" si="36"/>
        <v>0</v>
      </c>
      <c r="I91" s="97">
        <f t="shared" si="36"/>
        <v>0</v>
      </c>
      <c r="J91" s="97">
        <f t="shared" si="36"/>
        <v>0</v>
      </c>
      <c r="K91" s="97">
        <f t="shared" si="36"/>
        <v>0</v>
      </c>
      <c r="L91" s="97">
        <f t="shared" si="36"/>
        <v>0</v>
      </c>
      <c r="M91" s="97">
        <f t="shared" si="36"/>
        <v>0</v>
      </c>
      <c r="N91" s="97">
        <f t="shared" si="36"/>
        <v>0</v>
      </c>
      <c r="O91" s="97">
        <f t="shared" si="36"/>
        <v>0</v>
      </c>
      <c r="P91" s="189">
        <f t="shared" si="36"/>
        <v>0</v>
      </c>
      <c r="Q91" s="195">
        <f t="shared" ref="Q91:BS91" si="37">IF(AND(Q$77=0,Q85=0),0,IF(Q85=0,"NA",Q$77/Q85))</f>
        <v>0</v>
      </c>
      <c r="R91" s="97">
        <f t="shared" si="37"/>
        <v>0</v>
      </c>
      <c r="S91" s="97">
        <f t="shared" si="37"/>
        <v>0</v>
      </c>
      <c r="T91" s="97">
        <f t="shared" si="37"/>
        <v>0</v>
      </c>
      <c r="U91" s="97">
        <f t="shared" si="37"/>
        <v>0</v>
      </c>
      <c r="V91" s="97">
        <f t="shared" si="37"/>
        <v>0</v>
      </c>
      <c r="W91" s="97">
        <f t="shared" si="37"/>
        <v>0</v>
      </c>
      <c r="X91" s="97">
        <f t="shared" si="37"/>
        <v>0</v>
      </c>
      <c r="Y91" s="97">
        <f t="shared" si="37"/>
        <v>0</v>
      </c>
      <c r="Z91" s="97">
        <f t="shared" si="37"/>
        <v>0</v>
      </c>
      <c r="AA91" s="196">
        <f t="shared" si="37"/>
        <v>0</v>
      </c>
      <c r="AB91" s="188">
        <f t="shared" si="37"/>
        <v>0</v>
      </c>
      <c r="AC91" s="97">
        <f t="shared" si="37"/>
        <v>0</v>
      </c>
      <c r="AD91" s="97">
        <f>IF(AND(AD$77=0,AD85=0),0,IF(AD85=0,"NA",AD$77/AD85))</f>
        <v>0</v>
      </c>
      <c r="AE91" s="97">
        <f t="shared" si="37"/>
        <v>0</v>
      </c>
      <c r="AF91" s="97">
        <f t="shared" si="37"/>
        <v>0</v>
      </c>
      <c r="AG91" s="97">
        <f t="shared" si="37"/>
        <v>0</v>
      </c>
      <c r="AH91" s="97">
        <f t="shared" si="37"/>
        <v>0</v>
      </c>
      <c r="AI91" s="97">
        <f t="shared" si="37"/>
        <v>0</v>
      </c>
      <c r="AJ91" s="97">
        <f t="shared" si="37"/>
        <v>0</v>
      </c>
      <c r="AK91" s="97">
        <f t="shared" si="37"/>
        <v>0</v>
      </c>
      <c r="AL91" s="189">
        <f t="shared" si="37"/>
        <v>0</v>
      </c>
      <c r="AM91" s="195">
        <f t="shared" si="37"/>
        <v>0</v>
      </c>
      <c r="AN91" s="97">
        <f t="shared" si="37"/>
        <v>0</v>
      </c>
      <c r="AO91" s="97">
        <f t="shared" si="37"/>
        <v>0</v>
      </c>
      <c r="AP91" s="97">
        <f t="shared" si="37"/>
        <v>0</v>
      </c>
      <c r="AQ91" s="97">
        <f t="shared" si="37"/>
        <v>0</v>
      </c>
      <c r="AR91" s="97">
        <f t="shared" si="37"/>
        <v>0</v>
      </c>
      <c r="AS91" s="97">
        <f t="shared" si="37"/>
        <v>0</v>
      </c>
      <c r="AT91" s="97">
        <f t="shared" si="37"/>
        <v>0</v>
      </c>
      <c r="AU91" s="97">
        <f t="shared" si="37"/>
        <v>0</v>
      </c>
      <c r="AV91" s="97">
        <f t="shared" si="37"/>
        <v>0</v>
      </c>
      <c r="AW91" s="196">
        <f t="shared" si="37"/>
        <v>0</v>
      </c>
      <c r="AX91" s="188">
        <f t="shared" si="37"/>
        <v>0</v>
      </c>
      <c r="AY91" s="97">
        <f t="shared" si="37"/>
        <v>0</v>
      </c>
      <c r="AZ91" s="97">
        <f t="shared" si="37"/>
        <v>0</v>
      </c>
      <c r="BA91" s="97">
        <f t="shared" si="37"/>
        <v>0</v>
      </c>
      <c r="BB91" s="97">
        <f t="shared" si="37"/>
        <v>0</v>
      </c>
      <c r="BC91" s="97">
        <f t="shared" si="37"/>
        <v>0</v>
      </c>
      <c r="BD91" s="97">
        <f t="shared" si="37"/>
        <v>0</v>
      </c>
      <c r="BE91" s="97">
        <f t="shared" si="37"/>
        <v>0</v>
      </c>
      <c r="BF91" s="97">
        <f t="shared" si="37"/>
        <v>0</v>
      </c>
      <c r="BG91" s="97">
        <f t="shared" si="37"/>
        <v>0</v>
      </c>
      <c r="BH91" s="189">
        <f t="shared" si="37"/>
        <v>0</v>
      </c>
      <c r="BI91" s="188">
        <f t="shared" si="37"/>
        <v>0</v>
      </c>
      <c r="BJ91" s="97">
        <f t="shared" si="37"/>
        <v>0</v>
      </c>
      <c r="BK91" s="97">
        <f t="shared" si="37"/>
        <v>0</v>
      </c>
      <c r="BL91" s="97">
        <f t="shared" si="37"/>
        <v>0</v>
      </c>
      <c r="BM91" s="97">
        <f t="shared" si="37"/>
        <v>0</v>
      </c>
      <c r="BN91" s="97">
        <f t="shared" si="37"/>
        <v>0</v>
      </c>
      <c r="BO91" s="97">
        <f t="shared" si="37"/>
        <v>0</v>
      </c>
      <c r="BP91" s="97">
        <f t="shared" si="37"/>
        <v>0</v>
      </c>
      <c r="BQ91" s="97">
        <f t="shared" si="37"/>
        <v>0</v>
      </c>
      <c r="BR91" s="97">
        <f t="shared" si="37"/>
        <v>0</v>
      </c>
      <c r="BS91" s="189">
        <f t="shared" si="37"/>
        <v>0</v>
      </c>
    </row>
    <row r="92" spans="4:71" x14ac:dyDescent="0.2">
      <c r="D92" s="260"/>
      <c r="E92" s="230">
        <v>40</v>
      </c>
      <c r="F92" s="188">
        <f t="shared" ref="F92:P92" si="38">IF(AND(F$77=0,F86=0),0,IF(F86=0,"NA",F$77/F86))</f>
        <v>0</v>
      </c>
      <c r="G92" s="97">
        <f t="shared" si="38"/>
        <v>0</v>
      </c>
      <c r="H92" s="97">
        <f t="shared" si="38"/>
        <v>0</v>
      </c>
      <c r="I92" s="97">
        <f t="shared" si="38"/>
        <v>0</v>
      </c>
      <c r="J92" s="97">
        <f t="shared" si="38"/>
        <v>0</v>
      </c>
      <c r="K92" s="97">
        <f t="shared" si="38"/>
        <v>0</v>
      </c>
      <c r="L92" s="97">
        <f t="shared" si="38"/>
        <v>0</v>
      </c>
      <c r="M92" s="97">
        <f t="shared" si="38"/>
        <v>0</v>
      </c>
      <c r="N92" s="97">
        <f t="shared" si="38"/>
        <v>0</v>
      </c>
      <c r="O92" s="97">
        <f t="shared" si="38"/>
        <v>0</v>
      </c>
      <c r="P92" s="189">
        <f t="shared" si="38"/>
        <v>0</v>
      </c>
      <c r="Q92" s="195">
        <f t="shared" ref="Q92:BS92" si="39">IF(AND(Q$77=0,Q86=0),0,IF(Q86=0,"NA",Q$77/Q86))</f>
        <v>0</v>
      </c>
      <c r="R92" s="97">
        <f t="shared" si="39"/>
        <v>0</v>
      </c>
      <c r="S92" s="97">
        <f t="shared" si="39"/>
        <v>0</v>
      </c>
      <c r="T92" s="97">
        <f t="shared" si="39"/>
        <v>0</v>
      </c>
      <c r="U92" s="97">
        <f t="shared" si="39"/>
        <v>0</v>
      </c>
      <c r="V92" s="97">
        <f t="shared" si="39"/>
        <v>0</v>
      </c>
      <c r="W92" s="97">
        <f t="shared" si="39"/>
        <v>0</v>
      </c>
      <c r="X92" s="97">
        <f t="shared" si="39"/>
        <v>0</v>
      </c>
      <c r="Y92" s="97">
        <f t="shared" si="39"/>
        <v>0</v>
      </c>
      <c r="Z92" s="97">
        <f t="shared" si="39"/>
        <v>0</v>
      </c>
      <c r="AA92" s="196">
        <f t="shared" si="39"/>
        <v>0</v>
      </c>
      <c r="AB92" s="188">
        <f t="shared" si="39"/>
        <v>0</v>
      </c>
      <c r="AC92" s="97">
        <f t="shared" si="39"/>
        <v>0</v>
      </c>
      <c r="AD92" s="97">
        <f t="shared" si="39"/>
        <v>0</v>
      </c>
      <c r="AE92" s="97">
        <f t="shared" si="39"/>
        <v>0</v>
      </c>
      <c r="AF92" s="97">
        <f>IF(AND(AF$77=0,AF86=0),0,IF(AF86=0,"NA",AF$77/AF86))</f>
        <v>0</v>
      </c>
      <c r="AG92" s="97">
        <f t="shared" si="39"/>
        <v>0</v>
      </c>
      <c r="AH92" s="97">
        <f t="shared" si="39"/>
        <v>0</v>
      </c>
      <c r="AI92" s="97">
        <f t="shared" si="39"/>
        <v>0</v>
      </c>
      <c r="AJ92" s="97">
        <f t="shared" si="39"/>
        <v>0</v>
      </c>
      <c r="AK92" s="97">
        <f t="shared" si="39"/>
        <v>0</v>
      </c>
      <c r="AL92" s="189">
        <f t="shared" si="39"/>
        <v>0</v>
      </c>
      <c r="AM92" s="195">
        <f t="shared" si="39"/>
        <v>0</v>
      </c>
      <c r="AN92" s="97">
        <f t="shared" si="39"/>
        <v>0</v>
      </c>
      <c r="AO92" s="97">
        <f t="shared" si="39"/>
        <v>0</v>
      </c>
      <c r="AP92" s="97">
        <f t="shared" si="39"/>
        <v>0</v>
      </c>
      <c r="AQ92" s="97">
        <f t="shared" si="39"/>
        <v>0</v>
      </c>
      <c r="AR92" s="97">
        <f t="shared" si="39"/>
        <v>0</v>
      </c>
      <c r="AS92" s="97">
        <f t="shared" si="39"/>
        <v>0</v>
      </c>
      <c r="AT92" s="97">
        <f t="shared" si="39"/>
        <v>0</v>
      </c>
      <c r="AU92" s="97">
        <f t="shared" si="39"/>
        <v>0</v>
      </c>
      <c r="AV92" s="97">
        <f t="shared" si="39"/>
        <v>0</v>
      </c>
      <c r="AW92" s="196">
        <f t="shared" si="39"/>
        <v>0</v>
      </c>
      <c r="AX92" s="188">
        <f t="shared" si="39"/>
        <v>0</v>
      </c>
      <c r="AY92" s="97">
        <f t="shared" si="39"/>
        <v>0</v>
      </c>
      <c r="AZ92" s="97">
        <f t="shared" si="39"/>
        <v>0</v>
      </c>
      <c r="BA92" s="97">
        <f t="shared" si="39"/>
        <v>0</v>
      </c>
      <c r="BB92" s="97">
        <f t="shared" si="39"/>
        <v>0</v>
      </c>
      <c r="BC92" s="97">
        <f t="shared" si="39"/>
        <v>0</v>
      </c>
      <c r="BD92" s="97">
        <f t="shared" si="39"/>
        <v>0</v>
      </c>
      <c r="BE92" s="97">
        <f t="shared" si="39"/>
        <v>0</v>
      </c>
      <c r="BF92" s="97">
        <f t="shared" si="39"/>
        <v>0</v>
      </c>
      <c r="BG92" s="97">
        <f t="shared" si="39"/>
        <v>0</v>
      </c>
      <c r="BH92" s="189">
        <f t="shared" si="39"/>
        <v>0</v>
      </c>
      <c r="BI92" s="188">
        <f t="shared" si="39"/>
        <v>0</v>
      </c>
      <c r="BJ92" s="97">
        <f t="shared" si="39"/>
        <v>0</v>
      </c>
      <c r="BK92" s="97">
        <f t="shared" si="39"/>
        <v>0</v>
      </c>
      <c r="BL92" s="97">
        <f t="shared" si="39"/>
        <v>0</v>
      </c>
      <c r="BM92" s="97">
        <f t="shared" si="39"/>
        <v>0</v>
      </c>
      <c r="BN92" s="97">
        <f t="shared" si="39"/>
        <v>0</v>
      </c>
      <c r="BO92" s="97">
        <f t="shared" si="39"/>
        <v>0</v>
      </c>
      <c r="BP92" s="97">
        <f t="shared" si="39"/>
        <v>0</v>
      </c>
      <c r="BQ92" s="97">
        <f t="shared" si="39"/>
        <v>0</v>
      </c>
      <c r="BR92" s="97">
        <f t="shared" si="39"/>
        <v>0</v>
      </c>
      <c r="BS92" s="189">
        <f t="shared" si="39"/>
        <v>0</v>
      </c>
    </row>
    <row r="93" spans="4:71" x14ac:dyDescent="0.2">
      <c r="D93" s="260"/>
      <c r="E93" s="230">
        <v>45</v>
      </c>
      <c r="F93" s="188">
        <f t="shared" ref="F93:P93" si="40">IF(AND(F$77=0,F87=0),0,IF(F87=0,"NA",F$77/F87))</f>
        <v>0</v>
      </c>
      <c r="G93" s="97">
        <f t="shared" si="40"/>
        <v>0</v>
      </c>
      <c r="H93" s="97">
        <f t="shared" si="40"/>
        <v>0</v>
      </c>
      <c r="I93" s="97">
        <f t="shared" si="40"/>
        <v>0</v>
      </c>
      <c r="J93" s="97">
        <f t="shared" si="40"/>
        <v>0</v>
      </c>
      <c r="K93" s="97">
        <f t="shared" si="40"/>
        <v>0</v>
      </c>
      <c r="L93" s="97">
        <f t="shared" si="40"/>
        <v>0</v>
      </c>
      <c r="M93" s="97">
        <f t="shared" si="40"/>
        <v>0</v>
      </c>
      <c r="N93" s="97">
        <f t="shared" si="40"/>
        <v>0</v>
      </c>
      <c r="O93" s="97">
        <f t="shared" si="40"/>
        <v>0</v>
      </c>
      <c r="P93" s="189">
        <f t="shared" si="40"/>
        <v>0</v>
      </c>
      <c r="Q93" s="195">
        <f t="shared" ref="Q93:BS93" si="41">IF(AND(Q$77=0,Q87=0),0,IF(Q87=0,"NA",Q$77/Q87))</f>
        <v>0</v>
      </c>
      <c r="R93" s="97">
        <f t="shared" si="41"/>
        <v>0</v>
      </c>
      <c r="S93" s="97">
        <f t="shared" si="41"/>
        <v>0</v>
      </c>
      <c r="T93" s="97">
        <f t="shared" si="41"/>
        <v>0</v>
      </c>
      <c r="U93" s="97">
        <f t="shared" si="41"/>
        <v>0</v>
      </c>
      <c r="V93" s="97">
        <f t="shared" si="41"/>
        <v>0</v>
      </c>
      <c r="W93" s="97">
        <f t="shared" si="41"/>
        <v>0</v>
      </c>
      <c r="X93" s="97">
        <f t="shared" si="41"/>
        <v>0</v>
      </c>
      <c r="Y93" s="97">
        <f t="shared" si="41"/>
        <v>0</v>
      </c>
      <c r="Z93" s="97">
        <f t="shared" si="41"/>
        <v>0</v>
      </c>
      <c r="AA93" s="196">
        <f t="shared" si="41"/>
        <v>0</v>
      </c>
      <c r="AB93" s="188">
        <f t="shared" si="41"/>
        <v>0</v>
      </c>
      <c r="AC93" s="97">
        <f t="shared" si="41"/>
        <v>0</v>
      </c>
      <c r="AD93" s="97">
        <f t="shared" si="41"/>
        <v>0</v>
      </c>
      <c r="AE93" s="97">
        <f t="shared" si="41"/>
        <v>0</v>
      </c>
      <c r="AF93" s="97">
        <f t="shared" si="41"/>
        <v>0</v>
      </c>
      <c r="AG93" s="97">
        <f t="shared" si="41"/>
        <v>0</v>
      </c>
      <c r="AH93" s="97">
        <f t="shared" si="41"/>
        <v>0</v>
      </c>
      <c r="AI93" s="97">
        <f t="shared" si="41"/>
        <v>0</v>
      </c>
      <c r="AJ93" s="97">
        <f t="shared" si="41"/>
        <v>0</v>
      </c>
      <c r="AK93" s="97">
        <f t="shared" si="41"/>
        <v>0</v>
      </c>
      <c r="AL93" s="189">
        <f t="shared" si="41"/>
        <v>0</v>
      </c>
      <c r="AM93" s="195">
        <f t="shared" si="41"/>
        <v>0</v>
      </c>
      <c r="AN93" s="97">
        <f t="shared" si="41"/>
        <v>0</v>
      </c>
      <c r="AO93" s="97">
        <f t="shared" si="41"/>
        <v>0</v>
      </c>
      <c r="AP93" s="97">
        <f t="shared" si="41"/>
        <v>0</v>
      </c>
      <c r="AQ93" s="97">
        <f t="shared" si="41"/>
        <v>0</v>
      </c>
      <c r="AR93" s="97">
        <f t="shared" si="41"/>
        <v>0</v>
      </c>
      <c r="AS93" s="97">
        <f t="shared" si="41"/>
        <v>0</v>
      </c>
      <c r="AT93" s="97">
        <f t="shared" si="41"/>
        <v>0</v>
      </c>
      <c r="AU93" s="97">
        <f t="shared" si="41"/>
        <v>0</v>
      </c>
      <c r="AV93" s="97">
        <f t="shared" si="41"/>
        <v>0</v>
      </c>
      <c r="AW93" s="196">
        <f t="shared" si="41"/>
        <v>0</v>
      </c>
      <c r="AX93" s="188">
        <f t="shared" si="41"/>
        <v>0</v>
      </c>
      <c r="AY93" s="97">
        <f t="shared" si="41"/>
        <v>0</v>
      </c>
      <c r="AZ93" s="97">
        <f t="shared" si="41"/>
        <v>0</v>
      </c>
      <c r="BA93" s="97">
        <f t="shared" si="41"/>
        <v>0</v>
      </c>
      <c r="BB93" s="97">
        <f t="shared" si="41"/>
        <v>0</v>
      </c>
      <c r="BC93" s="97">
        <f t="shared" si="41"/>
        <v>0</v>
      </c>
      <c r="BD93" s="97">
        <f t="shared" si="41"/>
        <v>0</v>
      </c>
      <c r="BE93" s="97">
        <f t="shared" si="41"/>
        <v>0</v>
      </c>
      <c r="BF93" s="97">
        <f t="shared" si="41"/>
        <v>0</v>
      </c>
      <c r="BG93" s="97">
        <f t="shared" si="41"/>
        <v>0</v>
      </c>
      <c r="BH93" s="189">
        <f t="shared" si="41"/>
        <v>0</v>
      </c>
      <c r="BI93" s="188">
        <f t="shared" si="41"/>
        <v>0</v>
      </c>
      <c r="BJ93" s="97">
        <f t="shared" si="41"/>
        <v>0</v>
      </c>
      <c r="BK93" s="97">
        <f t="shared" si="41"/>
        <v>0</v>
      </c>
      <c r="BL93" s="97">
        <f t="shared" si="41"/>
        <v>0</v>
      </c>
      <c r="BM93" s="97">
        <f t="shared" si="41"/>
        <v>0</v>
      </c>
      <c r="BN93" s="97">
        <f t="shared" si="41"/>
        <v>0</v>
      </c>
      <c r="BO93" s="97">
        <f t="shared" si="41"/>
        <v>0</v>
      </c>
      <c r="BP93" s="97">
        <f t="shared" si="41"/>
        <v>0</v>
      </c>
      <c r="BQ93" s="97">
        <f t="shared" si="41"/>
        <v>0</v>
      </c>
      <c r="BR93" s="97">
        <f t="shared" si="41"/>
        <v>0</v>
      </c>
      <c r="BS93" s="189">
        <f t="shared" si="41"/>
        <v>0</v>
      </c>
    </row>
    <row r="94" spans="4:71" ht="13.5" thickBot="1" x14ac:dyDescent="0.25">
      <c r="D94" s="261"/>
      <c r="E94" s="231">
        <v>50</v>
      </c>
      <c r="F94" s="190">
        <f t="shared" ref="F94:P94" si="42">IF(AND(F$77=0,F88=0),0,IF(F88=0,"NA",F$77/F88))</f>
        <v>0</v>
      </c>
      <c r="G94" s="191">
        <f t="shared" si="42"/>
        <v>0</v>
      </c>
      <c r="H94" s="191">
        <f t="shared" si="42"/>
        <v>0</v>
      </c>
      <c r="I94" s="191">
        <f t="shared" si="42"/>
        <v>0</v>
      </c>
      <c r="J94" s="191">
        <f t="shared" si="42"/>
        <v>0</v>
      </c>
      <c r="K94" s="191">
        <f t="shared" si="42"/>
        <v>0</v>
      </c>
      <c r="L94" s="191">
        <f t="shared" si="42"/>
        <v>0</v>
      </c>
      <c r="M94" s="191">
        <f t="shared" si="42"/>
        <v>0</v>
      </c>
      <c r="N94" s="191">
        <f t="shared" si="42"/>
        <v>0</v>
      </c>
      <c r="O94" s="191">
        <f t="shared" si="42"/>
        <v>0</v>
      </c>
      <c r="P94" s="192">
        <f t="shared" si="42"/>
        <v>0</v>
      </c>
      <c r="Q94" s="197">
        <f t="shared" ref="Q94:BS94" si="43">IF(AND(Q$77=0,Q88=0),0,IF(Q88=0,"NA",Q$77/Q88))</f>
        <v>0</v>
      </c>
      <c r="R94" s="191">
        <f t="shared" si="43"/>
        <v>0</v>
      </c>
      <c r="S94" s="191">
        <f t="shared" si="43"/>
        <v>0</v>
      </c>
      <c r="T94" s="191">
        <f t="shared" si="43"/>
        <v>0</v>
      </c>
      <c r="U94" s="191">
        <f t="shared" si="43"/>
        <v>0</v>
      </c>
      <c r="V94" s="191">
        <f t="shared" si="43"/>
        <v>0</v>
      </c>
      <c r="W94" s="191">
        <f t="shared" si="43"/>
        <v>0</v>
      </c>
      <c r="X94" s="191">
        <f t="shared" si="43"/>
        <v>0</v>
      </c>
      <c r="Y94" s="191">
        <f t="shared" si="43"/>
        <v>0</v>
      </c>
      <c r="Z94" s="191">
        <f t="shared" si="43"/>
        <v>0</v>
      </c>
      <c r="AA94" s="198">
        <f t="shared" si="43"/>
        <v>0</v>
      </c>
      <c r="AB94" s="190">
        <f t="shared" si="43"/>
        <v>0</v>
      </c>
      <c r="AC94" s="191">
        <f t="shared" si="43"/>
        <v>0</v>
      </c>
      <c r="AD94" s="191">
        <f t="shared" si="43"/>
        <v>0</v>
      </c>
      <c r="AE94" s="191">
        <f t="shared" si="43"/>
        <v>0</v>
      </c>
      <c r="AF94" s="191">
        <f t="shared" si="43"/>
        <v>0</v>
      </c>
      <c r="AG94" s="191">
        <f t="shared" si="43"/>
        <v>0</v>
      </c>
      <c r="AH94" s="191">
        <f t="shared" si="43"/>
        <v>0</v>
      </c>
      <c r="AI94" s="191">
        <f t="shared" si="43"/>
        <v>0</v>
      </c>
      <c r="AJ94" s="191">
        <f t="shared" si="43"/>
        <v>0</v>
      </c>
      <c r="AK94" s="191">
        <f t="shared" si="43"/>
        <v>0</v>
      </c>
      <c r="AL94" s="192">
        <f t="shared" si="43"/>
        <v>0</v>
      </c>
      <c r="AM94" s="197">
        <f t="shared" si="43"/>
        <v>0</v>
      </c>
      <c r="AN94" s="191">
        <f t="shared" si="43"/>
        <v>0</v>
      </c>
      <c r="AO94" s="191">
        <f t="shared" si="43"/>
        <v>0</v>
      </c>
      <c r="AP94" s="191">
        <f t="shared" si="43"/>
        <v>0</v>
      </c>
      <c r="AQ94" s="191">
        <f t="shared" si="43"/>
        <v>0</v>
      </c>
      <c r="AR94" s="191">
        <f t="shared" si="43"/>
        <v>0</v>
      </c>
      <c r="AS94" s="191">
        <f t="shared" si="43"/>
        <v>0</v>
      </c>
      <c r="AT94" s="191">
        <f t="shared" si="43"/>
        <v>0</v>
      </c>
      <c r="AU94" s="191">
        <f t="shared" si="43"/>
        <v>0</v>
      </c>
      <c r="AV94" s="191">
        <f t="shared" si="43"/>
        <v>0</v>
      </c>
      <c r="AW94" s="198">
        <f t="shared" si="43"/>
        <v>0</v>
      </c>
      <c r="AX94" s="190">
        <f t="shared" si="43"/>
        <v>0</v>
      </c>
      <c r="AY94" s="191">
        <f t="shared" si="43"/>
        <v>0</v>
      </c>
      <c r="AZ94" s="191">
        <f t="shared" si="43"/>
        <v>0</v>
      </c>
      <c r="BA94" s="191">
        <f t="shared" si="43"/>
        <v>0</v>
      </c>
      <c r="BB94" s="191">
        <f t="shared" si="43"/>
        <v>0</v>
      </c>
      <c r="BC94" s="191">
        <f t="shared" si="43"/>
        <v>0</v>
      </c>
      <c r="BD94" s="191">
        <f t="shared" si="43"/>
        <v>0</v>
      </c>
      <c r="BE94" s="191">
        <f t="shared" si="43"/>
        <v>0</v>
      </c>
      <c r="BF94" s="191">
        <f t="shared" si="43"/>
        <v>0</v>
      </c>
      <c r="BG94" s="191">
        <f t="shared" si="43"/>
        <v>0</v>
      </c>
      <c r="BH94" s="192">
        <f t="shared" si="43"/>
        <v>0</v>
      </c>
      <c r="BI94" s="190">
        <f t="shared" si="43"/>
        <v>0</v>
      </c>
      <c r="BJ94" s="191">
        <f t="shared" si="43"/>
        <v>0</v>
      </c>
      <c r="BK94" s="191">
        <f t="shared" si="43"/>
        <v>0</v>
      </c>
      <c r="BL94" s="191">
        <f t="shared" si="43"/>
        <v>0</v>
      </c>
      <c r="BM94" s="191">
        <f t="shared" si="43"/>
        <v>0</v>
      </c>
      <c r="BN94" s="191">
        <f t="shared" si="43"/>
        <v>0</v>
      </c>
      <c r="BO94" s="191">
        <f t="shared" si="43"/>
        <v>0</v>
      </c>
      <c r="BP94" s="191">
        <f t="shared" si="43"/>
        <v>0</v>
      </c>
      <c r="BQ94" s="191">
        <f t="shared" si="43"/>
        <v>0</v>
      </c>
      <c r="BR94" s="191">
        <f t="shared" si="43"/>
        <v>0</v>
      </c>
      <c r="BS94" s="192">
        <f t="shared" si="43"/>
        <v>0</v>
      </c>
    </row>
    <row r="95" spans="4:71" x14ac:dyDescent="0.2">
      <c r="G95" s="2"/>
    </row>
    <row r="96" spans="4:71" ht="13.5" thickBot="1" x14ac:dyDescent="0.25">
      <c r="E96" t="s">
        <v>352</v>
      </c>
      <c r="P96" s="27" t="s">
        <v>353</v>
      </c>
      <c r="Q96" s="27"/>
      <c r="R96" s="27"/>
      <c r="S96" s="27"/>
      <c r="AA96" t="s">
        <v>354</v>
      </c>
      <c r="AL96" s="27" t="s">
        <v>355</v>
      </c>
      <c r="AM96" s="27"/>
      <c r="AN96" s="27"/>
      <c r="AO96" s="27"/>
      <c r="AW96" s="27" t="s">
        <v>356</v>
      </c>
      <c r="BH96" s="27" t="s">
        <v>357</v>
      </c>
    </row>
    <row r="97" spans="5:63" x14ac:dyDescent="0.2">
      <c r="F97" s="166" t="str">
        <f t="shared" ref="F97:F102" si="44">IF(AND(F83&gt;=F$77,G83&gt;=G$77,H83&gt;=H$77,I83&gt;=I$77,J83&gt;=J$77,K83&gt;=K$77,L83&gt;=L$77,M83&gt;=M$77,N83&gt;=N$77,O83&gt;=O$77,P83&gt;=P$77),"PASS","NG")</f>
        <v>PASS</v>
      </c>
      <c r="G97" s="167">
        <v>25</v>
      </c>
      <c r="H97" s="187">
        <f>MAX(F89:P89)</f>
        <v>0</v>
      </c>
      <c r="Q97" s="166" t="str">
        <f t="shared" ref="Q97:Q102" si="45">IF(AND(Q83&gt;=Q$77,R83&gt;=R$77,S83&gt;=S$77,T83&gt;=T$77,U83&gt;=U$77,V83&gt;=V$77,W83&gt;=W$77,X83&gt;=X$77,Y83&gt;=Y$77,Z83&gt;=Z$77,AA83&gt;=AA$77),"PASS","NG")</f>
        <v>PASS</v>
      </c>
      <c r="R97" s="167">
        <v>25</v>
      </c>
      <c r="S97" s="187">
        <f t="shared" ref="S97:S102" si="46">MAX(Q89:AA89)</f>
        <v>0</v>
      </c>
      <c r="AB97" s="166" t="str">
        <f t="shared" ref="AB97:AB102" si="47">IF(AND(AB83&gt;=AB$77,AC83&gt;=AC$77,AD83&gt;=AD$77,AE83&gt;=AE$77,AF83&gt;=AF$77,AG83&gt;=AG$77,AH83&gt;=AH$77,AI83&gt;=AI$77,AJ83&gt;=AJ$77,AK83&gt;=AK$77,AL83&gt;=AL$77),"PASS","NG")</f>
        <v>PASS</v>
      </c>
      <c r="AC97" s="167">
        <v>25</v>
      </c>
      <c r="AD97" s="187">
        <f>MAX(AB89:AL89)</f>
        <v>0</v>
      </c>
      <c r="AM97" s="166" t="str">
        <f t="shared" ref="AM97:AM102" si="48">IF(AND(AM83&gt;=AM$77,AN83&gt;=AN$77,AO83&gt;=AO$77,AP83&gt;=AP$77,AQ83&gt;=AQ$77,AR83&gt;=AR$77,AS83&gt;=AS$77,AT83&gt;=AT$77,AU83&gt;=AU$77,AV83&gt;=AV$77,AW83&gt;=AW$77),"PASS","NG")</f>
        <v>PASS</v>
      </c>
      <c r="AN97" s="167">
        <v>25</v>
      </c>
      <c r="AO97" s="187">
        <f>MAX(AM89:AW89)</f>
        <v>0</v>
      </c>
      <c r="AX97" s="166" t="str">
        <f t="shared" ref="AX97:AX102" si="49">IF(AND(AX83&gt;=AX$77,AY83&gt;=AY$77,AZ83&gt;=AZ$77,BA83&gt;=BA$77,BB83&gt;=BB$77,BC83&gt;=BC$77,BD83&gt;=BD$77,BE83&gt;=BE$77,BF83&gt;=BF$77,BG83&gt;=BG$77,BH83&gt;=BH$77),"PASS","NG")</f>
        <v>PASS</v>
      </c>
      <c r="AY97" s="167">
        <v>25</v>
      </c>
      <c r="AZ97" s="187">
        <f>MAX(AX89:BH89)</f>
        <v>0</v>
      </c>
      <c r="BI97" s="166" t="str">
        <f t="shared" ref="BI97:BI102" si="50">IF(AND(BI83&gt;=BI$77,BJ83&gt;=BJ$77,BK83&gt;=BK$77,BL83&gt;=BL$77,BM83&gt;=BM$77,BN83&gt;=BN$77,BO83&gt;=BO$77,BP83&gt;=BP$77,BQ83&gt;=BQ$77,BR83&gt;=BR$77,BS83&gt;=BS$77),"PASS","NG")</f>
        <v>PASS</v>
      </c>
      <c r="BJ97" s="167">
        <v>25</v>
      </c>
      <c r="BK97" s="187">
        <f>MAX(BI89:BS89)</f>
        <v>0</v>
      </c>
    </row>
    <row r="98" spans="5:63" x14ac:dyDescent="0.2">
      <c r="F98" s="142" t="str">
        <f t="shared" si="44"/>
        <v>PASS</v>
      </c>
      <c r="G98" s="31">
        <v>30</v>
      </c>
      <c r="H98" s="189">
        <f t="shared" ref="H98:H102" si="51">MAX(F90:P90)</f>
        <v>0</v>
      </c>
      <c r="Q98" s="142" t="str">
        <f t="shared" si="45"/>
        <v>PASS</v>
      </c>
      <c r="R98" s="31">
        <v>30</v>
      </c>
      <c r="S98" s="189">
        <f t="shared" si="46"/>
        <v>0</v>
      </c>
      <c r="AB98" s="142" t="str">
        <f t="shared" si="47"/>
        <v>PASS</v>
      </c>
      <c r="AC98" s="31">
        <v>30</v>
      </c>
      <c r="AD98" s="189">
        <f t="shared" ref="AD98:AD102" si="52">MAX(AB90:AL90)</f>
        <v>0</v>
      </c>
      <c r="AM98" s="142" t="str">
        <f t="shared" si="48"/>
        <v>PASS</v>
      </c>
      <c r="AN98" s="31">
        <v>30</v>
      </c>
      <c r="AO98" s="189">
        <f t="shared" ref="AO98:AO102" si="53">MAX(AM90:AW90)</f>
        <v>0</v>
      </c>
      <c r="AX98" s="142" t="str">
        <f t="shared" si="49"/>
        <v>PASS</v>
      </c>
      <c r="AY98" s="31">
        <v>30</v>
      </c>
      <c r="AZ98" s="189">
        <f t="shared" ref="AZ98:AZ102" si="54">MAX(AX90:BH90)</f>
        <v>0</v>
      </c>
      <c r="BI98" s="142" t="str">
        <f t="shared" si="50"/>
        <v>PASS</v>
      </c>
      <c r="BJ98" s="31">
        <v>30</v>
      </c>
      <c r="BK98" s="189">
        <f t="shared" ref="BK98:BK102" si="55">MAX(BI90:BS90)</f>
        <v>0</v>
      </c>
    </row>
    <row r="99" spans="5:63" x14ac:dyDescent="0.2">
      <c r="F99" s="142" t="str">
        <f t="shared" si="44"/>
        <v>PASS</v>
      </c>
      <c r="G99" s="31">
        <v>35</v>
      </c>
      <c r="H99" s="189">
        <f t="shared" si="51"/>
        <v>0</v>
      </c>
      <c r="Q99" s="142" t="str">
        <f t="shared" si="45"/>
        <v>PASS</v>
      </c>
      <c r="R99" s="31">
        <v>35</v>
      </c>
      <c r="S99" s="189">
        <f t="shared" si="46"/>
        <v>0</v>
      </c>
      <c r="AB99" s="142" t="str">
        <f t="shared" si="47"/>
        <v>PASS</v>
      </c>
      <c r="AC99" s="31">
        <v>35</v>
      </c>
      <c r="AD99" s="189">
        <f t="shared" si="52"/>
        <v>0</v>
      </c>
      <c r="AM99" s="142" t="str">
        <f t="shared" si="48"/>
        <v>PASS</v>
      </c>
      <c r="AN99" s="31">
        <v>35</v>
      </c>
      <c r="AO99" s="189">
        <f t="shared" si="53"/>
        <v>0</v>
      </c>
      <c r="AX99" s="142" t="str">
        <f t="shared" si="49"/>
        <v>PASS</v>
      </c>
      <c r="AY99" s="31">
        <v>35</v>
      </c>
      <c r="AZ99" s="189">
        <f t="shared" si="54"/>
        <v>0</v>
      </c>
      <c r="BI99" s="142" t="str">
        <f t="shared" si="50"/>
        <v>PASS</v>
      </c>
      <c r="BJ99" s="31">
        <v>35</v>
      </c>
      <c r="BK99" s="189">
        <f t="shared" si="55"/>
        <v>0</v>
      </c>
    </row>
    <row r="100" spans="5:63" x14ac:dyDescent="0.2">
      <c r="F100" s="142" t="str">
        <f t="shared" si="44"/>
        <v>PASS</v>
      </c>
      <c r="G100" s="31">
        <v>40</v>
      </c>
      <c r="H100" s="189">
        <f t="shared" si="51"/>
        <v>0</v>
      </c>
      <c r="Q100" s="142" t="str">
        <f t="shared" si="45"/>
        <v>PASS</v>
      </c>
      <c r="R100" s="31">
        <v>40</v>
      </c>
      <c r="S100" s="189">
        <f t="shared" si="46"/>
        <v>0</v>
      </c>
      <c r="AB100" s="142" t="str">
        <f t="shared" si="47"/>
        <v>PASS</v>
      </c>
      <c r="AC100" s="31">
        <v>40</v>
      </c>
      <c r="AD100" s="189">
        <f t="shared" si="52"/>
        <v>0</v>
      </c>
      <c r="AM100" s="142" t="str">
        <f t="shared" si="48"/>
        <v>PASS</v>
      </c>
      <c r="AN100" s="31">
        <v>40</v>
      </c>
      <c r="AO100" s="189">
        <f t="shared" si="53"/>
        <v>0</v>
      </c>
      <c r="AX100" s="142" t="str">
        <f t="shared" si="49"/>
        <v>PASS</v>
      </c>
      <c r="AY100" s="31">
        <v>40</v>
      </c>
      <c r="AZ100" s="189">
        <f t="shared" si="54"/>
        <v>0</v>
      </c>
      <c r="BI100" s="142" t="str">
        <f t="shared" si="50"/>
        <v>PASS</v>
      </c>
      <c r="BJ100" s="31">
        <v>40</v>
      </c>
      <c r="BK100" s="189">
        <f t="shared" si="55"/>
        <v>0</v>
      </c>
    </row>
    <row r="101" spans="5:63" x14ac:dyDescent="0.2">
      <c r="F101" s="142" t="str">
        <f t="shared" si="44"/>
        <v>PASS</v>
      </c>
      <c r="G101" s="31">
        <v>45</v>
      </c>
      <c r="H101" s="189">
        <f t="shared" si="51"/>
        <v>0</v>
      </c>
      <c r="Q101" s="142" t="str">
        <f t="shared" si="45"/>
        <v>PASS</v>
      </c>
      <c r="R101" s="31">
        <v>45</v>
      </c>
      <c r="S101" s="189">
        <f t="shared" si="46"/>
        <v>0</v>
      </c>
      <c r="AB101" s="142" t="str">
        <f t="shared" si="47"/>
        <v>PASS</v>
      </c>
      <c r="AC101" s="31">
        <v>45</v>
      </c>
      <c r="AD101" s="189">
        <f t="shared" si="52"/>
        <v>0</v>
      </c>
      <c r="AM101" s="142" t="str">
        <f t="shared" si="48"/>
        <v>PASS</v>
      </c>
      <c r="AN101" s="31">
        <v>45</v>
      </c>
      <c r="AO101" s="189">
        <f t="shared" si="53"/>
        <v>0</v>
      </c>
      <c r="AX101" s="142" t="str">
        <f t="shared" si="49"/>
        <v>PASS</v>
      </c>
      <c r="AY101" s="31">
        <v>45</v>
      </c>
      <c r="AZ101" s="189">
        <f t="shared" si="54"/>
        <v>0</v>
      </c>
      <c r="BI101" s="142" t="str">
        <f t="shared" si="50"/>
        <v>PASS</v>
      </c>
      <c r="BJ101" s="31">
        <v>45</v>
      </c>
      <c r="BK101" s="189">
        <f t="shared" si="55"/>
        <v>0</v>
      </c>
    </row>
    <row r="102" spans="5:63" x14ac:dyDescent="0.2">
      <c r="F102" s="142" t="str">
        <f t="shared" si="44"/>
        <v>PASS</v>
      </c>
      <c r="G102" s="31">
        <v>50</v>
      </c>
      <c r="H102" s="189">
        <f t="shared" si="51"/>
        <v>0</v>
      </c>
      <c r="Q102" s="142" t="str">
        <f t="shared" si="45"/>
        <v>PASS</v>
      </c>
      <c r="R102" s="31">
        <v>50</v>
      </c>
      <c r="S102" s="189">
        <f t="shared" si="46"/>
        <v>0</v>
      </c>
      <c r="AB102" s="142" t="str">
        <f t="shared" si="47"/>
        <v>PASS</v>
      </c>
      <c r="AC102" s="31">
        <v>50</v>
      </c>
      <c r="AD102" s="189">
        <f t="shared" si="52"/>
        <v>0</v>
      </c>
      <c r="AM102" s="142" t="str">
        <f t="shared" si="48"/>
        <v>PASS</v>
      </c>
      <c r="AN102" s="31">
        <v>50</v>
      </c>
      <c r="AO102" s="189">
        <f t="shared" si="53"/>
        <v>0</v>
      </c>
      <c r="AX102" s="142" t="str">
        <f t="shared" si="49"/>
        <v>PASS</v>
      </c>
      <c r="AY102" s="31">
        <v>50</v>
      </c>
      <c r="AZ102" s="189">
        <f t="shared" si="54"/>
        <v>0</v>
      </c>
      <c r="BI102" s="142" t="str">
        <f t="shared" si="50"/>
        <v>PASS</v>
      </c>
      <c r="BJ102" s="31">
        <v>50</v>
      </c>
      <c r="BK102" s="189">
        <f t="shared" si="55"/>
        <v>0</v>
      </c>
    </row>
    <row r="103" spans="5:63" ht="13.5" thickBot="1" x14ac:dyDescent="0.25">
      <c r="F103" s="144" t="s">
        <v>342</v>
      </c>
      <c r="G103" s="145" t="s">
        <v>361</v>
      </c>
      <c r="H103" s="192"/>
      <c r="Q103" s="144" t="s">
        <v>342</v>
      </c>
      <c r="R103" s="145" t="s">
        <v>361</v>
      </c>
      <c r="S103" s="192"/>
      <c r="AB103" s="144" t="s">
        <v>342</v>
      </c>
      <c r="AC103" s="145" t="s">
        <v>361</v>
      </c>
      <c r="AD103" s="192"/>
      <c r="AM103" s="144" t="s">
        <v>342</v>
      </c>
      <c r="AN103" s="145" t="s">
        <v>361</v>
      </c>
      <c r="AO103" s="192"/>
      <c r="AX103" s="144" t="s">
        <v>342</v>
      </c>
      <c r="AY103" s="145" t="s">
        <v>361</v>
      </c>
      <c r="AZ103" s="192"/>
      <c r="BI103" s="144" t="s">
        <v>342</v>
      </c>
      <c r="BJ103" s="145" t="s">
        <v>361</v>
      </c>
      <c r="BK103" s="192"/>
    </row>
    <row r="104" spans="5:63" x14ac:dyDescent="0.2">
      <c r="F104" s="108" t="s">
        <v>343</v>
      </c>
      <c r="G104" s="2">
        <f>VLOOKUP("Pass",F97:G103,2,0)</f>
        <v>25</v>
      </c>
      <c r="Q104" s="108" t="s">
        <v>344</v>
      </c>
      <c r="R104" s="2">
        <f>VLOOKUP("Pass",Q97:R103,2,0)</f>
        <v>25</v>
      </c>
      <c r="AB104" s="108" t="s">
        <v>345</v>
      </c>
      <c r="AC104" s="2">
        <f>VLOOKUP("Pass",AB97:AC103,2,0)</f>
        <v>25</v>
      </c>
      <c r="AM104" s="108" t="s">
        <v>346</v>
      </c>
      <c r="AN104" s="2">
        <f>VLOOKUP("Pass",AM97:AN103,2,0)</f>
        <v>25</v>
      </c>
      <c r="AX104" s="108" t="s">
        <v>347</v>
      </c>
      <c r="AY104" s="2">
        <f>VLOOKUP("Pass",AX97:AY103,2,0)</f>
        <v>25</v>
      </c>
      <c r="BI104" s="108" t="s">
        <v>348</v>
      </c>
      <c r="BJ104" s="2">
        <f>VLOOKUP("Pass",BI97:BJ103,2,0)</f>
        <v>25</v>
      </c>
      <c r="BK104" s="2"/>
    </row>
    <row r="106" spans="5:63" x14ac:dyDescent="0.2">
      <c r="F106" s="108" t="s">
        <v>349</v>
      </c>
      <c r="G106" s="2">
        <f>MAX(G104,R104,AC104,AN104,AY104,BJ104)</f>
        <v>25</v>
      </c>
    </row>
    <row r="108" spans="5:63" x14ac:dyDescent="0.2">
      <c r="F108" s="2" t="s">
        <v>363</v>
      </c>
      <c r="G108" s="2" t="s">
        <v>364</v>
      </c>
      <c r="H108" s="2" t="s">
        <v>298</v>
      </c>
      <c r="I108" s="2" t="s">
        <v>303</v>
      </c>
      <c r="J108" s="2" t="s">
        <v>299</v>
      </c>
      <c r="K108" s="2" t="s">
        <v>304</v>
      </c>
      <c r="L108" s="227"/>
    </row>
    <row r="109" spans="5:63" x14ac:dyDescent="0.2">
      <c r="E109" s="108" t="s">
        <v>362</v>
      </c>
      <c r="F109" s="97">
        <f>F78</f>
        <v>0</v>
      </c>
      <c r="G109" s="97">
        <f>Q78</f>
        <v>0</v>
      </c>
      <c r="H109" s="97">
        <f>AB78</f>
        <v>0</v>
      </c>
      <c r="I109" s="97">
        <f>AM78</f>
        <v>0</v>
      </c>
      <c r="J109" s="97">
        <f>AX78</f>
        <v>0</v>
      </c>
      <c r="K109" s="97">
        <f>BI78</f>
        <v>0</v>
      </c>
      <c r="L109" s="227"/>
    </row>
    <row r="110" spans="5:63" x14ac:dyDescent="0.2">
      <c r="E110" s="108" t="s">
        <v>365</v>
      </c>
      <c r="F110" s="97">
        <f>F78-90</f>
        <v>-90</v>
      </c>
      <c r="G110" s="97">
        <f>Q78-90*4.5</f>
        <v>-405</v>
      </c>
      <c r="H110" s="97">
        <f>AB78-14.93</f>
        <v>-14.93</v>
      </c>
      <c r="I110" s="97">
        <f>AM78-14.93*4.5</f>
        <v>-67.185000000000002</v>
      </c>
      <c r="J110" s="97">
        <f>AX78-3.93</f>
        <v>-3.93</v>
      </c>
      <c r="K110" s="97">
        <f>BI78-3.93*4.5</f>
        <v>-17.685000000000002</v>
      </c>
      <c r="L110" s="227"/>
    </row>
    <row r="111" spans="5:63" x14ac:dyDescent="0.2">
      <c r="E111" s="108" t="s">
        <v>156</v>
      </c>
      <c r="F111" s="97">
        <f>F77</f>
        <v>0</v>
      </c>
      <c r="G111" s="97">
        <f>Q77</f>
        <v>0</v>
      </c>
      <c r="H111" s="97">
        <f>AB77</f>
        <v>0</v>
      </c>
      <c r="I111" s="97">
        <f>AM77</f>
        <v>0</v>
      </c>
      <c r="J111" s="97">
        <f>AX77</f>
        <v>0</v>
      </c>
      <c r="K111" s="97">
        <f>BI77</f>
        <v>0</v>
      </c>
      <c r="L111" s="227" t="s">
        <v>367</v>
      </c>
    </row>
    <row r="112" spans="5:63" x14ac:dyDescent="0.2">
      <c r="E112" s="108" t="s">
        <v>366</v>
      </c>
      <c r="F112" s="97">
        <f>IF(F111=F109,0,IF(F111&lt;=F110,1,1-(F$110-F111)*(1/(F$110-F$109))))</f>
        <v>0</v>
      </c>
      <c r="G112" s="97">
        <f t="shared" ref="G112:K112" si="56">IF(G111=G109,0,IF(G111&lt;=G110,1,1-(G$110-G111)*(1/(G$110-G$109))))</f>
        <v>0</v>
      </c>
      <c r="H112" s="97">
        <f t="shared" si="56"/>
        <v>0</v>
      </c>
      <c r="I112" s="97">
        <f t="shared" si="56"/>
        <v>0</v>
      </c>
      <c r="J112" s="97">
        <f t="shared" si="56"/>
        <v>0</v>
      </c>
      <c r="K112" s="97">
        <f t="shared" si="56"/>
        <v>0</v>
      </c>
      <c r="L112" s="97">
        <f>IF(D8="",1,MAX(0,MIN(F112:K112)))</f>
        <v>1</v>
      </c>
    </row>
  </sheetData>
  <sheetProtection algorithmName="SHA-512" hashValue="IgHeaPMTpq3YtA4hHjT6NYl791ti7Z/ICZ1aXomS3Eb3t+FiSEYcpVoCDkby/2xIQgJnA/mYZAXijqTl9FM3kg==" saltValue="02/wxCu/DuPCX2AgFP/CGg==" spinCount="100000" sheet="1" objects="1" scenarios="1" formatCells="0"/>
  <mergeCells count="26">
    <mergeCell ref="B61:D61"/>
    <mergeCell ref="F61:H61"/>
    <mergeCell ref="I61:K61"/>
    <mergeCell ref="L61:M61"/>
    <mergeCell ref="N61:O61"/>
    <mergeCell ref="D10:F10"/>
    <mergeCell ref="F1:G1"/>
    <mergeCell ref="H1:N1"/>
    <mergeCell ref="F2:G2"/>
    <mergeCell ref="H2:I2"/>
    <mergeCell ref="D9:F9"/>
    <mergeCell ref="M3:O3"/>
    <mergeCell ref="BI64:BS64"/>
    <mergeCell ref="F64:P64"/>
    <mergeCell ref="Q64:AA64"/>
    <mergeCell ref="AB64:AL64"/>
    <mergeCell ref="AM64:AW64"/>
    <mergeCell ref="AX64:BH64"/>
    <mergeCell ref="BI81:BS81"/>
    <mergeCell ref="D83:D88"/>
    <mergeCell ref="D89:D94"/>
    <mergeCell ref="F81:P81"/>
    <mergeCell ref="Q81:AA81"/>
    <mergeCell ref="AB81:AL81"/>
    <mergeCell ref="AM81:AW81"/>
    <mergeCell ref="AX81:BH81"/>
  </mergeCells>
  <conditionalFormatting sqref="B21:B22">
    <cfRule type="cellIs" dxfId="23" priority="11" operator="greaterThan">
      <formula>$D$8</formula>
    </cfRule>
  </conditionalFormatting>
  <conditionalFormatting sqref="B20">
    <cfRule type="cellIs" dxfId="22" priority="8" operator="greaterThan">
      <formula>$D$8</formula>
    </cfRule>
  </conditionalFormatting>
  <conditionalFormatting sqref="C20">
    <cfRule type="containsText" dxfId="21" priority="7" operator="containsText" text="&quot;Dist. &gt; Arm Length&quot;">
      <formula>NOT(ISERROR(SEARCH("""Dist. &gt; Arm Length""",C20)))</formula>
    </cfRule>
  </conditionalFormatting>
  <conditionalFormatting sqref="B19">
    <cfRule type="cellIs" dxfId="20" priority="6" operator="greaterThan">
      <formula>$D$8</formula>
    </cfRule>
  </conditionalFormatting>
  <conditionalFormatting sqref="C19">
    <cfRule type="containsText" dxfId="19" priority="5" operator="containsText" text="&quot;Dist. &gt; Arm Length&quot;">
      <formula>NOT(ISERROR(SEARCH("""Dist. &gt; Arm Length""",C19)))</formula>
    </cfRule>
  </conditionalFormatting>
  <conditionalFormatting sqref="B13:B18">
    <cfRule type="cellIs" dxfId="18" priority="2" operator="greaterThan">
      <formula>$D$8</formula>
    </cfRule>
  </conditionalFormatting>
  <conditionalFormatting sqref="C13:C18">
    <cfRule type="containsText" dxfId="17" priority="1" operator="containsText" text="&quot;Dist. &gt; Arm Length&quot;">
      <formula>NOT(ISERROR(SEARCH("""Dist. &gt; Arm Length""",C13)))</formula>
    </cfRule>
  </conditionalFormatting>
  <dataValidations count="1">
    <dataValidation type="list" showErrorMessage="1" sqref="B40:B49" xr:uid="{00000000-0002-0000-0300-000000000000}">
      <formula1>Heads</formula1>
      <formula2>0</formula2>
    </dataValidation>
  </dataValidations>
  <pageMargins left="0.7" right="0.7" top="0.75" bottom="0.75" header="0.3" footer="0.3"/>
  <pageSetup scale="56" firstPageNumber="0" fitToWidth="0"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'Mast Arm Geometry Tables'!$A$3:$A$10</xm:f>
          </x14:formula1>
          <xm:sqref>D8</xm:sqref>
        </x14:dataValidation>
        <x14:dataValidation type="list" showErrorMessage="1" xr:uid="{A340ECB8-192A-4E82-928E-9D2AD49A9E5D}">
          <x14:formula1>
            <xm:f>'Equipment Wt &amp; Ht'!$A$3:$A$30</xm:f>
          </x14:formula1>
          <xm:sqref>C21:C22</xm:sqref>
        </x14:dataValidation>
        <x14:dataValidation type="list" showErrorMessage="1" xr:uid="{A2193312-DAE3-425D-955B-5091DFA95A20}">
          <x14:formula1>
            <xm:f>'Equipment Wt &amp; Ht'!$A$3:$A$36</xm:f>
          </x14:formula1>
          <xm:sqref>C13:C20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13"/>
    <pageSetUpPr fitToPage="1"/>
  </sheetPr>
  <dimension ref="A1:BS67"/>
  <sheetViews>
    <sheetView zoomScaleNormal="100" zoomScaleSheetLayoutView="100" workbookViewId="0">
      <selection activeCell="A3" sqref="A3"/>
    </sheetView>
  </sheetViews>
  <sheetFormatPr defaultRowHeight="12.75" x14ac:dyDescent="0.2"/>
  <cols>
    <col min="1" max="1" width="14.140625" customWidth="1"/>
    <col min="2" max="2" width="26.28515625" customWidth="1"/>
    <col min="3" max="3" width="12.28515625" customWidth="1"/>
    <col min="4" max="4" width="10.7109375" customWidth="1"/>
    <col min="5" max="5" width="14" bestFit="1" customWidth="1"/>
    <col min="6" max="6" width="14.28515625" bestFit="1" customWidth="1"/>
    <col min="7" max="7" width="11.140625" customWidth="1"/>
    <col min="8" max="8" width="11.28515625" customWidth="1"/>
    <col min="9" max="9" width="14" customWidth="1"/>
    <col min="10" max="10" width="12.7109375" customWidth="1"/>
    <col min="11" max="11" width="14" customWidth="1"/>
    <col min="12" max="12" width="13" style="1" customWidth="1"/>
    <col min="13" max="13" width="13.28515625" style="2" customWidth="1"/>
    <col min="14" max="14" width="12" customWidth="1"/>
    <col min="15" max="15" width="12.28515625" customWidth="1"/>
    <col min="16" max="16" width="18.42578125" bestFit="1" customWidth="1"/>
    <col min="17" max="17" width="12.85546875" bestFit="1" customWidth="1"/>
    <col min="18" max="18" width="18.28515625" bestFit="1" customWidth="1"/>
    <col min="19" max="19" width="27.28515625" bestFit="1" customWidth="1"/>
    <col min="20" max="20" width="13.28515625" bestFit="1" customWidth="1"/>
    <col min="21" max="21" width="16.140625" bestFit="1" customWidth="1"/>
    <col min="22" max="22" width="15.7109375" bestFit="1" customWidth="1"/>
    <col min="23" max="23" width="12.42578125" bestFit="1" customWidth="1"/>
    <col min="24" max="24" width="9.42578125" customWidth="1"/>
    <col min="25" max="25" width="12.85546875" bestFit="1" customWidth="1"/>
    <col min="26" max="26" width="18.28515625" bestFit="1" customWidth="1"/>
    <col min="27" max="27" width="31" bestFit="1" customWidth="1"/>
    <col min="28" max="28" width="13.28515625" bestFit="1" customWidth="1"/>
    <col min="29" max="29" width="16.140625" bestFit="1" customWidth="1"/>
    <col min="30" max="30" width="15.7109375" bestFit="1" customWidth="1"/>
    <col min="31" max="31" width="12.42578125" bestFit="1" customWidth="1"/>
    <col min="32" max="32" width="12.42578125" customWidth="1"/>
    <col min="33" max="33" width="20.85546875" bestFit="1" customWidth="1"/>
    <col min="34" max="34" width="31" bestFit="1" customWidth="1"/>
    <col min="35" max="35" width="13.28515625" bestFit="1" customWidth="1"/>
    <col min="36" max="36" width="16.140625" bestFit="1" customWidth="1"/>
    <col min="37" max="37" width="15.7109375" bestFit="1" customWidth="1"/>
    <col min="38" max="38" width="12.42578125" bestFit="1" customWidth="1"/>
  </cols>
  <sheetData>
    <row r="1" spans="1:38" s="3" customFormat="1" ht="15.75" x14ac:dyDescent="0.25">
      <c r="A1" s="3" t="s">
        <v>293</v>
      </c>
      <c r="F1" s="278" t="s">
        <v>0</v>
      </c>
      <c r="G1" s="278"/>
      <c r="H1" s="285" t="str">
        <f>IF('Mast Arm 1 Design'!H1="","",'Mast Arm 1 Design'!H1)</f>
        <v/>
      </c>
      <c r="I1" s="285"/>
      <c r="J1" s="285"/>
      <c r="K1" s="285"/>
      <c r="L1" s="285"/>
      <c r="M1" s="285"/>
      <c r="N1" s="285"/>
      <c r="O1" s="240"/>
      <c r="P1" s="240"/>
      <c r="Q1" s="16"/>
      <c r="R1" s="16"/>
      <c r="S1" s="16"/>
      <c r="T1" s="16"/>
      <c r="U1" s="16"/>
      <c r="V1" s="16"/>
    </row>
    <row r="2" spans="1:38" ht="16.5" thickBot="1" x14ac:dyDescent="0.25">
      <c r="A2" t="s">
        <v>1</v>
      </c>
      <c r="F2" s="278" t="s">
        <v>2</v>
      </c>
      <c r="G2" s="278"/>
      <c r="H2" s="279" t="str">
        <f>IF('Mast Arm 1 Design'!H2="","",'Mast Arm 1 Design'!H2)</f>
        <v/>
      </c>
      <c r="I2" s="279"/>
      <c r="J2" s="235"/>
      <c r="K2" s="236"/>
      <c r="L2" s="237"/>
      <c r="M2" s="236"/>
      <c r="N2" s="236"/>
      <c r="O2" s="236"/>
      <c r="P2" s="17"/>
    </row>
    <row r="3" spans="1:38" ht="15.75" thickBot="1" x14ac:dyDescent="0.3">
      <c r="B3" s="4"/>
      <c r="L3" s="280" t="s">
        <v>179</v>
      </c>
      <c r="M3" s="281"/>
      <c r="N3" s="282"/>
    </row>
    <row r="4" spans="1:38" ht="15.75" thickBot="1" x14ac:dyDescent="0.3">
      <c r="B4" s="4"/>
      <c r="L4" s="67" t="s">
        <v>180</v>
      </c>
      <c r="M4" s="68" t="s">
        <v>181</v>
      </c>
      <c r="N4" s="69" t="s">
        <v>182</v>
      </c>
    </row>
    <row r="5" spans="1:38" ht="15.75" x14ac:dyDescent="0.25">
      <c r="A5" s="3"/>
      <c r="B5" s="4"/>
      <c r="L5" s="70" t="s">
        <v>183</v>
      </c>
      <c r="M5" s="71"/>
      <c r="N5" s="72"/>
    </row>
    <row r="6" spans="1:38" ht="16.5" thickBot="1" x14ac:dyDescent="0.3">
      <c r="A6" s="3" t="s">
        <v>110</v>
      </c>
      <c r="B6" s="4"/>
      <c r="L6" s="73" t="s">
        <v>184</v>
      </c>
      <c r="M6" s="74"/>
      <c r="N6" s="75"/>
      <c r="Q6" s="284" t="s">
        <v>163</v>
      </c>
      <c r="R6" s="284"/>
      <c r="S6" s="284"/>
      <c r="T6" s="284"/>
      <c r="U6" s="284"/>
      <c r="V6" s="284"/>
      <c r="W6" s="284"/>
      <c r="X6" s="20"/>
      <c r="Y6" s="20"/>
      <c r="Z6" s="20"/>
      <c r="AA6" s="284" t="s">
        <v>164</v>
      </c>
      <c r="AB6" s="284"/>
      <c r="AC6" s="284"/>
      <c r="AD6" s="284"/>
      <c r="AE6" s="284"/>
      <c r="AF6" s="20"/>
      <c r="AG6" s="20"/>
      <c r="AH6" s="284" t="s">
        <v>165</v>
      </c>
      <c r="AI6" s="284"/>
      <c r="AJ6" s="284"/>
      <c r="AK6" s="284"/>
      <c r="AL6" s="284"/>
    </row>
    <row r="7" spans="1:38" ht="13.15" customHeight="1" x14ac:dyDescent="0.2">
      <c r="B7" s="4"/>
      <c r="C7" s="5" t="s">
        <v>111</v>
      </c>
      <c r="D7" s="51" t="str">
        <f>'Mast Arm 1 Design'!D7</f>
        <v>I</v>
      </c>
      <c r="Q7" t="s">
        <v>93</v>
      </c>
      <c r="R7" t="s">
        <v>94</v>
      </c>
      <c r="S7" t="s">
        <v>85</v>
      </c>
      <c r="T7" t="s">
        <v>23</v>
      </c>
      <c r="U7" s="19" t="s">
        <v>88</v>
      </c>
      <c r="V7" s="2" t="s">
        <v>87</v>
      </c>
      <c r="W7" s="2" t="s">
        <v>26</v>
      </c>
      <c r="X7" s="2"/>
      <c r="Y7" t="s">
        <v>93</v>
      </c>
      <c r="Z7" t="s">
        <v>94</v>
      </c>
      <c r="AA7" t="s">
        <v>85</v>
      </c>
      <c r="AB7" t="s">
        <v>23</v>
      </c>
      <c r="AC7" s="19" t="s">
        <v>88</v>
      </c>
      <c r="AD7" s="2" t="s">
        <v>87</v>
      </c>
      <c r="AE7" s="2" t="s">
        <v>26</v>
      </c>
      <c r="AF7" s="2"/>
      <c r="AG7" t="s">
        <v>134</v>
      </c>
      <c r="AH7" t="s">
        <v>85</v>
      </c>
      <c r="AI7" t="s">
        <v>23</v>
      </c>
      <c r="AJ7" s="19" t="s">
        <v>88</v>
      </c>
      <c r="AK7" s="2" t="s">
        <v>87</v>
      </c>
      <c r="AL7" s="2" t="s">
        <v>26</v>
      </c>
    </row>
    <row r="8" spans="1:38" ht="13.15" customHeight="1" x14ac:dyDescent="0.2">
      <c r="B8" s="4"/>
      <c r="C8" s="5" t="s">
        <v>101</v>
      </c>
      <c r="D8" s="241" t="s">
        <v>95</v>
      </c>
      <c r="E8" t="s">
        <v>208</v>
      </c>
      <c r="Q8" t="s">
        <v>96</v>
      </c>
      <c r="R8" t="s">
        <v>97</v>
      </c>
      <c r="S8" s="14" t="s">
        <v>21</v>
      </c>
      <c r="T8">
        <v>23</v>
      </c>
      <c r="U8" s="19">
        <v>18</v>
      </c>
      <c r="V8" s="2">
        <v>14.78</v>
      </c>
      <c r="W8" s="2">
        <v>0.4375</v>
      </c>
      <c r="X8" s="2"/>
      <c r="Y8" t="s">
        <v>96</v>
      </c>
      <c r="Z8" s="2" t="s">
        <v>100</v>
      </c>
      <c r="AA8" s="14" t="s">
        <v>166</v>
      </c>
      <c r="AB8">
        <v>23</v>
      </c>
      <c r="AC8" s="19">
        <v>15</v>
      </c>
      <c r="AD8" s="2">
        <v>11.78</v>
      </c>
      <c r="AE8" s="2">
        <v>0.313</v>
      </c>
      <c r="AF8" s="2"/>
      <c r="AG8" s="2"/>
      <c r="AJ8" s="19"/>
      <c r="AK8" s="2"/>
      <c r="AL8" s="2"/>
    </row>
    <row r="9" spans="1:38" ht="13.15" customHeight="1" x14ac:dyDescent="0.2">
      <c r="B9" s="4"/>
      <c r="C9" s="5" t="s">
        <v>132</v>
      </c>
      <c r="D9" s="234"/>
      <c r="E9" t="s">
        <v>133</v>
      </c>
      <c r="Q9" t="s">
        <v>95</v>
      </c>
      <c r="R9" t="s">
        <v>97</v>
      </c>
      <c r="S9" s="14" t="s">
        <v>22</v>
      </c>
      <c r="T9">
        <v>29</v>
      </c>
      <c r="U9" s="19">
        <v>18</v>
      </c>
      <c r="V9" s="2">
        <v>13.94</v>
      </c>
      <c r="W9" s="2">
        <v>0.4375</v>
      </c>
      <c r="X9" s="2"/>
      <c r="Y9" t="s">
        <v>95</v>
      </c>
      <c r="Z9" s="2" t="s">
        <v>100</v>
      </c>
      <c r="AA9" s="14" t="s">
        <v>167</v>
      </c>
      <c r="AB9">
        <v>29</v>
      </c>
      <c r="AC9" s="19">
        <v>15</v>
      </c>
      <c r="AD9" s="2">
        <v>10.94</v>
      </c>
      <c r="AE9" s="2">
        <v>0.313</v>
      </c>
      <c r="AF9" s="2"/>
      <c r="AG9" s="2">
        <v>6</v>
      </c>
      <c r="AH9" s="14" t="s">
        <v>89</v>
      </c>
      <c r="AI9">
        <v>21</v>
      </c>
      <c r="AJ9" s="19">
        <v>14</v>
      </c>
      <c r="AK9" s="2">
        <v>11.06</v>
      </c>
      <c r="AL9" s="2">
        <v>0.4375</v>
      </c>
    </row>
    <row r="10" spans="1:38" ht="13.15" customHeight="1" x14ac:dyDescent="0.2">
      <c r="B10" s="4"/>
      <c r="C10" s="5" t="s">
        <v>102</v>
      </c>
      <c r="D10" s="10">
        <f>'Mast Arm 1 Design'!D8</f>
        <v>0</v>
      </c>
      <c r="E10" s="6" t="s">
        <v>6</v>
      </c>
      <c r="Q10" t="s">
        <v>96</v>
      </c>
      <c r="R10" s="27">
        <v>50</v>
      </c>
      <c r="S10" s="14" t="s">
        <v>98</v>
      </c>
      <c r="T10">
        <v>23</v>
      </c>
      <c r="U10" s="19">
        <v>18</v>
      </c>
      <c r="V10" s="2">
        <v>14.78</v>
      </c>
      <c r="W10" s="28">
        <v>0.5</v>
      </c>
      <c r="X10" s="2"/>
      <c r="Y10" t="s">
        <v>96</v>
      </c>
      <c r="Z10" s="2" t="s">
        <v>97</v>
      </c>
      <c r="AA10" s="14" t="s">
        <v>168</v>
      </c>
      <c r="AB10">
        <v>23</v>
      </c>
      <c r="AC10" s="19">
        <v>15</v>
      </c>
      <c r="AD10" s="2">
        <v>11.78</v>
      </c>
      <c r="AE10" s="2">
        <v>0.42899999999999999</v>
      </c>
      <c r="AF10" s="2"/>
      <c r="AG10" s="2">
        <v>8</v>
      </c>
      <c r="AH10" s="14" t="s">
        <v>90</v>
      </c>
      <c r="AI10">
        <v>30</v>
      </c>
      <c r="AJ10" s="19">
        <v>14</v>
      </c>
      <c r="AK10" s="2">
        <v>9.8000000000000007</v>
      </c>
      <c r="AL10" s="2">
        <v>0.4375</v>
      </c>
    </row>
    <row r="11" spans="1:38" ht="13.15" customHeight="1" x14ac:dyDescent="0.2">
      <c r="B11" s="4"/>
      <c r="C11" s="5" t="s">
        <v>103</v>
      </c>
      <c r="D11" s="10">
        <f>'Mast Arm 2 Design'!D8</f>
        <v>0</v>
      </c>
      <c r="E11" s="6" t="s">
        <v>6</v>
      </c>
      <c r="Q11" t="s">
        <v>95</v>
      </c>
      <c r="R11" s="27">
        <v>50</v>
      </c>
      <c r="S11" s="14" t="s">
        <v>99</v>
      </c>
      <c r="T11">
        <v>29</v>
      </c>
      <c r="U11" s="19">
        <v>18</v>
      </c>
      <c r="V11" s="2">
        <v>13.94</v>
      </c>
      <c r="W11" s="28">
        <v>0.5</v>
      </c>
      <c r="X11" s="2"/>
      <c r="Y11" t="s">
        <v>95</v>
      </c>
      <c r="Z11" s="2" t="s">
        <v>97</v>
      </c>
      <c r="AA11" s="14" t="s">
        <v>169</v>
      </c>
      <c r="AB11">
        <v>29</v>
      </c>
      <c r="AC11" s="19">
        <v>15</v>
      </c>
      <c r="AD11" s="2">
        <v>10.94</v>
      </c>
      <c r="AE11" s="2">
        <v>0.42899999999999999</v>
      </c>
      <c r="AF11" s="2"/>
      <c r="AG11" s="2">
        <v>10</v>
      </c>
      <c r="AH11" s="14" t="s">
        <v>91</v>
      </c>
      <c r="AI11">
        <v>36</v>
      </c>
      <c r="AJ11" s="19">
        <v>14</v>
      </c>
      <c r="AK11" s="2">
        <v>8.9600000000000009</v>
      </c>
      <c r="AL11" s="2">
        <v>0.4375</v>
      </c>
    </row>
    <row r="12" spans="1:38" ht="13.15" customHeight="1" x14ac:dyDescent="0.2">
      <c r="B12" s="4"/>
      <c r="C12" s="5" t="s">
        <v>104</v>
      </c>
      <c r="D12" s="277" t="str">
        <f>IF(AND(D10=0,D11=0),"ERROR: INPUT MAST ARM LENGTH",IF(D7="I",IF(D8="NO",IF(MAX(D10:D11)&lt;50,S8,S10),IF(MAX(D10:D11)&lt;50,S9,S11)),IF(D7="II",IF(D8="NO",IF(MAX(D10:D11)&lt;35,AA8,IF(MAX(D10:D11)&lt;50,AA10,AA12)),IF(MAX(D10:D11)&lt;35,AA9,IF(MAX(D10:D11)&lt;50,AA11,AA13))),VLOOKUP(D9,AG8:AL12,2,0))))</f>
        <v>ERROR: INPUT MAST ARM LENGTH</v>
      </c>
      <c r="E12" s="277"/>
      <c r="F12" s="277"/>
      <c r="R12" s="27"/>
      <c r="S12" s="14"/>
      <c r="U12" s="19"/>
      <c r="V12" s="2"/>
      <c r="W12" s="28"/>
      <c r="X12" s="2"/>
      <c r="Y12" t="s">
        <v>96</v>
      </c>
      <c r="Z12" s="2">
        <v>50</v>
      </c>
      <c r="AA12" s="14" t="s">
        <v>374</v>
      </c>
      <c r="AB12">
        <v>23</v>
      </c>
      <c r="AC12" s="19">
        <v>15.5</v>
      </c>
      <c r="AD12" s="2">
        <v>12.28</v>
      </c>
      <c r="AE12" s="2">
        <v>0.5</v>
      </c>
      <c r="AF12" s="2"/>
      <c r="AG12" s="2">
        <v>24</v>
      </c>
      <c r="AH12" s="14" t="s">
        <v>92</v>
      </c>
      <c r="AI12">
        <v>40</v>
      </c>
      <c r="AJ12" s="19">
        <v>14</v>
      </c>
      <c r="AK12" s="2">
        <v>8.4</v>
      </c>
      <c r="AL12" s="2">
        <v>0.4375</v>
      </c>
    </row>
    <row r="13" spans="1:38" ht="13.15" customHeight="1" x14ac:dyDescent="0.2">
      <c r="B13" s="4"/>
      <c r="C13" s="5" t="s">
        <v>86</v>
      </c>
      <c r="D13" s="99" t="str">
        <f>IF(AND(D10=0,D11=0),"N/A",IF(D7="I",VLOOKUP(D12,S8:W11,2,0),IF(D7="II",VLOOKUP(D12,AA8:AE13,2,0),VLOOKUP(D12,AH9:AL12,2,0))))</f>
        <v>N/A</v>
      </c>
      <c r="E13" s="6" t="s">
        <v>6</v>
      </c>
      <c r="X13" s="2"/>
      <c r="Y13" t="s">
        <v>95</v>
      </c>
      <c r="Z13" s="2">
        <v>50</v>
      </c>
      <c r="AA13" s="14" t="s">
        <v>373</v>
      </c>
      <c r="AB13">
        <v>29</v>
      </c>
      <c r="AC13" s="19">
        <v>15.5</v>
      </c>
      <c r="AD13" s="2">
        <v>11.44</v>
      </c>
      <c r="AE13" s="2">
        <v>0.5</v>
      </c>
    </row>
    <row r="14" spans="1:38" ht="13.15" customHeight="1" x14ac:dyDescent="0.2">
      <c r="B14" s="4"/>
      <c r="M14" s="2" t="s">
        <v>7</v>
      </c>
      <c r="X14" s="2"/>
      <c r="Z14" s="2"/>
      <c r="AA14" s="14"/>
      <c r="AC14" s="19"/>
      <c r="AD14" s="2"/>
      <c r="AE14" s="2"/>
    </row>
    <row r="15" spans="1:38" ht="13.15" customHeight="1" x14ac:dyDescent="0.2">
      <c r="B15" s="4"/>
      <c r="X15" s="2"/>
      <c r="Z15" s="2"/>
      <c r="AA15" s="14"/>
      <c r="AC15" s="19"/>
      <c r="AD15" s="2"/>
      <c r="AE15" s="2"/>
    </row>
    <row r="16" spans="1:38" ht="38.25" x14ac:dyDescent="0.2">
      <c r="A16" s="14"/>
      <c r="B16" s="9" t="s">
        <v>271</v>
      </c>
      <c r="C16" s="9" t="s">
        <v>330</v>
      </c>
      <c r="D16" s="9" t="s">
        <v>18</v>
      </c>
      <c r="E16" s="9" t="s">
        <v>20</v>
      </c>
      <c r="F16" s="9" t="s">
        <v>19</v>
      </c>
      <c r="G16" s="9" t="s">
        <v>18</v>
      </c>
      <c r="H16" s="9" t="s">
        <v>215</v>
      </c>
      <c r="I16" s="9" t="s">
        <v>224</v>
      </c>
      <c r="J16" s="9" t="s">
        <v>216</v>
      </c>
      <c r="K16" s="9" t="s">
        <v>217</v>
      </c>
    </row>
    <row r="17" spans="1:23" ht="13.15" customHeight="1" x14ac:dyDescent="0.2">
      <c r="A17" t="s">
        <v>75</v>
      </c>
      <c r="B17" s="41"/>
      <c r="C17" s="49"/>
      <c r="D17" s="238"/>
      <c r="E17" s="41"/>
      <c r="F17" s="41"/>
      <c r="G17" s="17"/>
      <c r="H17" s="41"/>
      <c r="I17" s="41"/>
      <c r="J17" s="41"/>
      <c r="K17" s="41"/>
    </row>
    <row r="18" spans="1:23" ht="13.15" customHeight="1" x14ac:dyDescent="0.2">
      <c r="A18" t="s">
        <v>76</v>
      </c>
      <c r="B18" s="41"/>
      <c r="C18" s="49"/>
      <c r="D18" s="238"/>
      <c r="E18" s="41"/>
      <c r="F18" s="41"/>
      <c r="G18" s="17"/>
      <c r="H18" s="41"/>
      <c r="I18" s="41"/>
      <c r="J18" s="41"/>
      <c r="K18" s="41"/>
    </row>
    <row r="19" spans="1:23" x14ac:dyDescent="0.2">
      <c r="A19" t="s">
        <v>77</v>
      </c>
      <c r="B19" s="41"/>
      <c r="C19" s="49"/>
      <c r="D19" s="238"/>
      <c r="E19" s="41"/>
      <c r="F19" s="41"/>
      <c r="G19" s="17"/>
      <c r="H19" s="41"/>
      <c r="I19" s="41"/>
      <c r="J19" s="41"/>
      <c r="K19" s="41"/>
    </row>
    <row r="20" spans="1:23" x14ac:dyDescent="0.2">
      <c r="A20" t="s">
        <v>78</v>
      </c>
      <c r="B20" s="41"/>
      <c r="C20" s="49"/>
      <c r="D20" s="238"/>
      <c r="E20" s="41"/>
      <c r="F20" s="41"/>
      <c r="G20" s="17"/>
      <c r="H20" s="41"/>
      <c r="I20" s="41"/>
      <c r="J20" s="41"/>
      <c r="K20" s="41"/>
    </row>
    <row r="21" spans="1:23" ht="13.15" customHeight="1" x14ac:dyDescent="0.2">
      <c r="A21" t="s">
        <v>79</v>
      </c>
      <c r="B21" s="41"/>
      <c r="C21" s="49"/>
      <c r="D21" s="238"/>
      <c r="E21" s="41"/>
      <c r="F21" s="41"/>
      <c r="G21" s="17"/>
      <c r="H21" s="41"/>
      <c r="I21" s="41"/>
      <c r="J21" s="41"/>
      <c r="K21" s="41"/>
    </row>
    <row r="22" spans="1:23" s="14" customFormat="1" x14ac:dyDescent="0.2">
      <c r="A22" t="s">
        <v>80</v>
      </c>
      <c r="B22" s="41"/>
      <c r="C22" s="49"/>
      <c r="D22" s="238"/>
      <c r="E22" s="41"/>
      <c r="F22" s="41"/>
      <c r="G22" s="239"/>
      <c r="H22" s="41"/>
      <c r="I22" s="41"/>
      <c r="J22" s="41"/>
      <c r="K22" s="41"/>
      <c r="Q22"/>
      <c r="R22"/>
      <c r="S22"/>
      <c r="T22"/>
      <c r="U22"/>
      <c r="V22"/>
      <c r="W22"/>
    </row>
    <row r="23" spans="1:23" ht="13.15" customHeight="1" x14ac:dyDescent="0.2">
      <c r="A23" t="s">
        <v>81</v>
      </c>
      <c r="B23" s="41"/>
      <c r="C23" s="49"/>
      <c r="D23" s="238"/>
      <c r="E23" s="41"/>
      <c r="F23" s="41"/>
      <c r="G23" s="17"/>
      <c r="H23" s="41"/>
      <c r="I23" s="41"/>
      <c r="J23" s="41"/>
      <c r="K23" s="41"/>
    </row>
    <row r="24" spans="1:23" ht="13.15" customHeight="1" x14ac:dyDescent="0.2">
      <c r="A24" t="s">
        <v>82</v>
      </c>
      <c r="B24" s="41"/>
      <c r="C24" s="49"/>
      <c r="D24" s="238"/>
      <c r="E24" s="41"/>
      <c r="F24" s="41"/>
      <c r="G24" s="17"/>
      <c r="H24" s="41"/>
      <c r="I24" s="41"/>
      <c r="J24" s="41"/>
      <c r="K24" s="41"/>
    </row>
    <row r="25" spans="1:23" ht="13.15" customHeight="1" x14ac:dyDescent="0.2">
      <c r="A25" t="s">
        <v>83</v>
      </c>
      <c r="B25" s="41"/>
      <c r="C25" s="49"/>
      <c r="D25" s="238"/>
      <c r="E25" s="41"/>
      <c r="F25" s="41"/>
      <c r="G25" s="17"/>
      <c r="H25" s="41"/>
      <c r="I25" s="41"/>
      <c r="J25" s="41"/>
      <c r="K25" s="41"/>
    </row>
    <row r="26" spans="1:23" x14ac:dyDescent="0.2">
      <c r="A26" t="s">
        <v>84</v>
      </c>
      <c r="B26" s="41"/>
      <c r="C26" s="49"/>
      <c r="D26" s="238"/>
      <c r="E26" s="41"/>
      <c r="F26" s="41"/>
      <c r="G26" s="17"/>
      <c r="H26" s="41"/>
      <c r="I26" s="41"/>
      <c r="J26" s="41"/>
      <c r="K26" s="41"/>
    </row>
    <row r="27" spans="1:23" x14ac:dyDescent="0.2">
      <c r="A27" s="15"/>
      <c r="B27" t="s">
        <v>289</v>
      </c>
      <c r="D27" s="15"/>
      <c r="E27" s="15"/>
    </row>
    <row r="30" spans="1:23" ht="52.5" x14ac:dyDescent="0.3">
      <c r="A30" s="15"/>
      <c r="B30" s="9" t="s">
        <v>268</v>
      </c>
      <c r="C30" s="9" t="s">
        <v>17</v>
      </c>
      <c r="D30" s="9" t="s">
        <v>218</v>
      </c>
      <c r="E30" s="9" t="s">
        <v>173</v>
      </c>
      <c r="F30" s="9" t="s">
        <v>174</v>
      </c>
      <c r="G30" s="9" t="s">
        <v>219</v>
      </c>
      <c r="H30" s="9" t="s">
        <v>175</v>
      </c>
      <c r="I30" s="9" t="s">
        <v>176</v>
      </c>
      <c r="J30" s="9" t="s">
        <v>220</v>
      </c>
      <c r="K30" s="9" t="s">
        <v>275</v>
      </c>
      <c r="L30" s="9" t="s">
        <v>276</v>
      </c>
      <c r="M30" s="9" t="s">
        <v>277</v>
      </c>
      <c r="N30" s="9" t="s">
        <v>278</v>
      </c>
    </row>
    <row r="31" spans="1:23" x14ac:dyDescent="0.2">
      <c r="A31" t="s">
        <v>101</v>
      </c>
      <c r="B31" s="44">
        <v>0</v>
      </c>
      <c r="C31" s="59">
        <v>0</v>
      </c>
      <c r="D31" s="59" t="e">
        <f>IF($D$8="YES",VLOOKUP($D$13,'Mast Arm Pole Capacities'!$A$5:$Q$10,11,0),0)</f>
        <v>#N/A</v>
      </c>
      <c r="E31" s="44">
        <v>0</v>
      </c>
      <c r="F31" s="62">
        <v>0</v>
      </c>
      <c r="G31" s="59" t="e">
        <f>IF($D$8="YES",VLOOKUP($D$13,'Mast Arm Pole Capacities'!$A$5:$Q$10,12,0),0)</f>
        <v>#N/A</v>
      </c>
      <c r="H31" s="44">
        <v>0</v>
      </c>
      <c r="I31" s="62">
        <v>0</v>
      </c>
      <c r="J31" s="184" t="e">
        <f>G31*(D13-0.5+IF(D7="III",5,2))</f>
        <v>#N/A</v>
      </c>
      <c r="K31" s="44">
        <v>0</v>
      </c>
      <c r="L31" s="59" t="e">
        <f>IF($D$8="YES",VLOOKUP($D$13,'Mast Arm Pole Capacities'!$A$5:$Q$10,13,0),0)</f>
        <v>#N/A</v>
      </c>
      <c r="M31" s="44">
        <v>0</v>
      </c>
      <c r="N31" s="173" t="e">
        <f>L31*(D13-0.5+IF(D7="III",5,2))</f>
        <v>#N/A</v>
      </c>
    </row>
    <row r="32" spans="1:23" x14ac:dyDescent="0.2">
      <c r="A32" t="s">
        <v>93</v>
      </c>
      <c r="B32" s="46">
        <v>0</v>
      </c>
      <c r="C32" s="60">
        <v>0</v>
      </c>
      <c r="D32" s="60" t="e">
        <f>IF($D$8="YES",VLOOKUP($D$13,'Mast Arm Pole Capacities'!$A$5:$Q$10,15,0),0)</f>
        <v>#N/A</v>
      </c>
      <c r="E32" s="46">
        <v>0</v>
      </c>
      <c r="F32" s="61">
        <v>0</v>
      </c>
      <c r="G32" s="60" t="e">
        <f>IF($D$8="YES",VLOOKUP($D$13,'Mast Arm Pole Capacities'!$A$5:$Q$10,16,0),0)</f>
        <v>#N/A</v>
      </c>
      <c r="H32" s="46">
        <v>0</v>
      </c>
      <c r="I32" s="61">
        <v>0</v>
      </c>
      <c r="J32" s="60" t="e">
        <f>G32*(D13-0.5+IF(D7="III",5/2,2/2))</f>
        <v>#N/A</v>
      </c>
      <c r="K32" s="46">
        <v>0</v>
      </c>
      <c r="L32" s="60" t="e">
        <f>IF($D$8="YES",VLOOKUP($D$13,'Mast Arm Pole Capacities'!$A$5:$Q$10,17,0),0)</f>
        <v>#N/A</v>
      </c>
      <c r="M32" s="46">
        <v>0</v>
      </c>
      <c r="N32" s="60" t="e">
        <f>L32*(D13-0.5+IF(D7="III",5/2,2/2))</f>
        <v>#N/A</v>
      </c>
    </row>
    <row r="33" spans="1:71" x14ac:dyDescent="0.2">
      <c r="A33" t="s">
        <v>75</v>
      </c>
      <c r="B33" s="46">
        <f>IF($C17="",0,VLOOKUP($C17,'Equipment Wt &amp; Ht'!$A$2:$J$222,5,0))</f>
        <v>0</v>
      </c>
      <c r="C33" s="60">
        <f>(F17*E17)/144*4</f>
        <v>0</v>
      </c>
      <c r="D33" s="60">
        <f>IF(H17="",0,H17)</f>
        <v>0</v>
      </c>
      <c r="E33" s="46">
        <f>IF(C17="",0,VLOOKUP(C17,'Equipment Wt &amp; Ht'!$A$2:$J$222,6,0))</f>
        <v>0</v>
      </c>
      <c r="F33" s="61">
        <f t="shared" ref="F33:F42" si="0">F17*E17/144</f>
        <v>0</v>
      </c>
      <c r="G33" s="61">
        <f t="shared" ref="G33:G42" si="1">J17*I17/144</f>
        <v>0</v>
      </c>
      <c r="H33" s="46">
        <f t="shared" ref="H33:H42" si="2">E33*B17</f>
        <v>0</v>
      </c>
      <c r="I33" s="61">
        <f t="shared" ref="I33:I42" si="3">F33*B17</f>
        <v>0</v>
      </c>
      <c r="J33" s="61">
        <f t="shared" ref="J33:J42" si="4">G33*B17</f>
        <v>0</v>
      </c>
      <c r="K33" s="46">
        <f>IF(C17="",0,VLOOKUP(C17,'Equipment Wt &amp; Ht'!$A$2:$L$222,7,0))</f>
        <v>0</v>
      </c>
      <c r="L33" s="61">
        <f t="shared" ref="L33:L42" si="5">(J17*K17)/144</f>
        <v>0</v>
      </c>
      <c r="M33" s="46">
        <f t="shared" ref="M33:M42" si="6">K33*B17</f>
        <v>0</v>
      </c>
      <c r="N33" s="47">
        <f t="shared" ref="N33:N42" si="7">L33*B17</f>
        <v>0</v>
      </c>
    </row>
    <row r="34" spans="1:71" x14ac:dyDescent="0.2">
      <c r="A34" t="s">
        <v>76</v>
      </c>
      <c r="B34" s="46">
        <f>IF($C18="",0,VLOOKUP($C18,'Equipment Wt &amp; Ht'!$A$2:$J$222,5,0))</f>
        <v>0</v>
      </c>
      <c r="C34" s="60">
        <f t="shared" ref="C34:C42" si="8">(F18*E18)/144*4</f>
        <v>0</v>
      </c>
      <c r="D34" s="60">
        <f t="shared" ref="D34:D42" si="9">IF(H18="",0,H18)</f>
        <v>0</v>
      </c>
      <c r="E34" s="46">
        <f>IF(C18="",0,VLOOKUP(C18,'Equipment Wt &amp; Ht'!$A$2:$J$222,6,0))</f>
        <v>0</v>
      </c>
      <c r="F34" s="61">
        <f t="shared" si="0"/>
        <v>0</v>
      </c>
      <c r="G34" s="61">
        <f t="shared" si="1"/>
        <v>0</v>
      </c>
      <c r="H34" s="46">
        <f t="shared" si="2"/>
        <v>0</v>
      </c>
      <c r="I34" s="61">
        <f t="shared" si="3"/>
        <v>0</v>
      </c>
      <c r="J34" s="61">
        <f t="shared" si="4"/>
        <v>0</v>
      </c>
      <c r="K34" s="46">
        <f>IF(C18="",0,VLOOKUP(C18,'Equipment Wt &amp; Ht'!$A$2:$L$222,7,0))</f>
        <v>0</v>
      </c>
      <c r="L34" s="61">
        <f t="shared" si="5"/>
        <v>0</v>
      </c>
      <c r="M34" s="46">
        <f t="shared" si="6"/>
        <v>0</v>
      </c>
      <c r="N34" s="47">
        <f t="shared" si="7"/>
        <v>0</v>
      </c>
    </row>
    <row r="35" spans="1:71" x14ac:dyDescent="0.2">
      <c r="A35" t="s">
        <v>77</v>
      </c>
      <c r="B35" s="46">
        <f>IF($C19="",0,VLOOKUP($C19,'Equipment Wt &amp; Ht'!$A$2:$J$222,5,0))</f>
        <v>0</v>
      </c>
      <c r="C35" s="60">
        <f t="shared" si="8"/>
        <v>0</v>
      </c>
      <c r="D35" s="60">
        <f t="shared" si="9"/>
        <v>0</v>
      </c>
      <c r="E35" s="46">
        <f>IF(C19="",0,VLOOKUP(C19,'Equipment Wt &amp; Ht'!$A$2:$J$222,6,0))</f>
        <v>0</v>
      </c>
      <c r="F35" s="61">
        <f t="shared" si="0"/>
        <v>0</v>
      </c>
      <c r="G35" s="61">
        <f t="shared" si="1"/>
        <v>0</v>
      </c>
      <c r="H35" s="46">
        <f t="shared" si="2"/>
        <v>0</v>
      </c>
      <c r="I35" s="61">
        <f t="shared" si="3"/>
        <v>0</v>
      </c>
      <c r="J35" s="61">
        <f t="shared" si="4"/>
        <v>0</v>
      </c>
      <c r="K35" s="46">
        <f>IF(C19="",0,VLOOKUP(C19,'Equipment Wt &amp; Ht'!$A$2:$L$222,7,0))</f>
        <v>0</v>
      </c>
      <c r="L35" s="61">
        <f t="shared" si="5"/>
        <v>0</v>
      </c>
      <c r="M35" s="46">
        <f t="shared" si="6"/>
        <v>0</v>
      </c>
      <c r="N35" s="47">
        <f t="shared" si="7"/>
        <v>0</v>
      </c>
    </row>
    <row r="36" spans="1:71" x14ac:dyDescent="0.2">
      <c r="A36" t="s">
        <v>78</v>
      </c>
      <c r="B36" s="46">
        <f>IF($C20="",0,VLOOKUP($C20,'Equipment Wt &amp; Ht'!$A$2:$J$222,5,0))</f>
        <v>0</v>
      </c>
      <c r="C36" s="60">
        <f t="shared" si="8"/>
        <v>0</v>
      </c>
      <c r="D36" s="60">
        <f t="shared" si="9"/>
        <v>0</v>
      </c>
      <c r="E36" s="46">
        <f>IF(C20="",0,VLOOKUP(C20,'Equipment Wt &amp; Ht'!$A$2:$J$222,6,0))</f>
        <v>0</v>
      </c>
      <c r="F36" s="61">
        <f t="shared" si="0"/>
        <v>0</v>
      </c>
      <c r="G36" s="61">
        <f t="shared" si="1"/>
        <v>0</v>
      </c>
      <c r="H36" s="46">
        <f t="shared" si="2"/>
        <v>0</v>
      </c>
      <c r="I36" s="61">
        <f t="shared" si="3"/>
        <v>0</v>
      </c>
      <c r="J36" s="61">
        <f t="shared" si="4"/>
        <v>0</v>
      </c>
      <c r="K36" s="46">
        <f>IF(C20="",0,VLOOKUP(C20,'Equipment Wt &amp; Ht'!$A$2:$L$222,7,0))</f>
        <v>0</v>
      </c>
      <c r="L36" s="61">
        <f t="shared" si="5"/>
        <v>0</v>
      </c>
      <c r="M36" s="46">
        <f t="shared" si="6"/>
        <v>0</v>
      </c>
      <c r="N36" s="47">
        <f t="shared" si="7"/>
        <v>0</v>
      </c>
    </row>
    <row r="37" spans="1:71" x14ac:dyDescent="0.2">
      <c r="A37" t="s">
        <v>79</v>
      </c>
      <c r="B37" s="46">
        <f>IF($C21="",0,VLOOKUP($C21,'Equipment Wt &amp; Ht'!$A$2:$J$222,5,0))</f>
        <v>0</v>
      </c>
      <c r="C37" s="60">
        <f t="shared" si="8"/>
        <v>0</v>
      </c>
      <c r="D37" s="60">
        <f t="shared" si="9"/>
        <v>0</v>
      </c>
      <c r="E37" s="46">
        <f>IF(C21="",0,VLOOKUP(C21,'Equipment Wt &amp; Ht'!$A$2:$J$222,6,0))</f>
        <v>0</v>
      </c>
      <c r="F37" s="61">
        <f t="shared" si="0"/>
        <v>0</v>
      </c>
      <c r="G37" s="61">
        <f t="shared" si="1"/>
        <v>0</v>
      </c>
      <c r="H37" s="46">
        <f t="shared" si="2"/>
        <v>0</v>
      </c>
      <c r="I37" s="61">
        <f t="shared" si="3"/>
        <v>0</v>
      </c>
      <c r="J37" s="61">
        <f t="shared" si="4"/>
        <v>0</v>
      </c>
      <c r="K37" s="46">
        <f>IF(C21="",0,VLOOKUP(C21,'Equipment Wt &amp; Ht'!$A$2:$L$222,7,0))</f>
        <v>0</v>
      </c>
      <c r="L37" s="61">
        <f t="shared" si="5"/>
        <v>0</v>
      </c>
      <c r="M37" s="46">
        <f t="shared" si="6"/>
        <v>0</v>
      </c>
      <c r="N37" s="47">
        <f t="shared" si="7"/>
        <v>0</v>
      </c>
    </row>
    <row r="38" spans="1:71" x14ac:dyDescent="0.2">
      <c r="A38" t="s">
        <v>80</v>
      </c>
      <c r="B38" s="46">
        <f>IF($C22="",0,VLOOKUP($C22,'Equipment Wt &amp; Ht'!$A$2:$J$222,5,0))</f>
        <v>0</v>
      </c>
      <c r="C38" s="60">
        <f t="shared" si="8"/>
        <v>0</v>
      </c>
      <c r="D38" s="60">
        <f t="shared" si="9"/>
        <v>0</v>
      </c>
      <c r="E38" s="46">
        <f>IF(C22="",0,VLOOKUP(C22,'Equipment Wt &amp; Ht'!$A$2:$J$222,6,0))</f>
        <v>0</v>
      </c>
      <c r="F38" s="61">
        <f t="shared" si="0"/>
        <v>0</v>
      </c>
      <c r="G38" s="61">
        <f t="shared" si="1"/>
        <v>0</v>
      </c>
      <c r="H38" s="46">
        <f t="shared" si="2"/>
        <v>0</v>
      </c>
      <c r="I38" s="61">
        <f t="shared" si="3"/>
        <v>0</v>
      </c>
      <c r="J38" s="61">
        <f t="shared" si="4"/>
        <v>0</v>
      </c>
      <c r="K38" s="46">
        <f>IF(C22="",0,VLOOKUP(C22,'Equipment Wt &amp; Ht'!$A$2:$L$222,7,0))</f>
        <v>0</v>
      </c>
      <c r="L38" s="61">
        <f t="shared" si="5"/>
        <v>0</v>
      </c>
      <c r="M38" s="46">
        <f t="shared" si="6"/>
        <v>0</v>
      </c>
      <c r="N38" s="47">
        <f t="shared" si="7"/>
        <v>0</v>
      </c>
    </row>
    <row r="39" spans="1:71" x14ac:dyDescent="0.2">
      <c r="A39" t="s">
        <v>81</v>
      </c>
      <c r="B39" s="46">
        <f>IF($C23="",0,VLOOKUP($C23,'Equipment Wt &amp; Ht'!$A$2:$J$222,5,0))</f>
        <v>0</v>
      </c>
      <c r="C39" s="60">
        <f t="shared" si="8"/>
        <v>0</v>
      </c>
      <c r="D39" s="60">
        <f t="shared" si="9"/>
        <v>0</v>
      </c>
      <c r="E39" s="46">
        <f>IF(C23="",0,VLOOKUP(C23,'Equipment Wt &amp; Ht'!$A$2:$J$222,6,0))</f>
        <v>0</v>
      </c>
      <c r="F39" s="61">
        <f t="shared" si="0"/>
        <v>0</v>
      </c>
      <c r="G39" s="61">
        <f t="shared" si="1"/>
        <v>0</v>
      </c>
      <c r="H39" s="46">
        <f t="shared" si="2"/>
        <v>0</v>
      </c>
      <c r="I39" s="61">
        <f t="shared" si="3"/>
        <v>0</v>
      </c>
      <c r="J39" s="61">
        <f t="shared" si="4"/>
        <v>0</v>
      </c>
      <c r="K39" s="46">
        <f>IF(C23="",0,VLOOKUP(C23,'Equipment Wt &amp; Ht'!$A$2:$L$222,7,0))</f>
        <v>0</v>
      </c>
      <c r="L39" s="61">
        <f t="shared" si="5"/>
        <v>0</v>
      </c>
      <c r="M39" s="46">
        <f t="shared" si="6"/>
        <v>0</v>
      </c>
      <c r="N39" s="47">
        <f t="shared" si="7"/>
        <v>0</v>
      </c>
    </row>
    <row r="40" spans="1:71" x14ac:dyDescent="0.2">
      <c r="A40" t="s">
        <v>82</v>
      </c>
      <c r="B40" s="46">
        <f>IF($C24="",0,VLOOKUP($C24,'Equipment Wt &amp; Ht'!$A$2:$J$222,5,0))</f>
        <v>0</v>
      </c>
      <c r="C40" s="60">
        <f t="shared" si="8"/>
        <v>0</v>
      </c>
      <c r="D40" s="60">
        <f t="shared" si="9"/>
        <v>0</v>
      </c>
      <c r="E40" s="46">
        <f>IF(C24="",0,VLOOKUP(C24,'Equipment Wt &amp; Ht'!$A$2:$J$222,6,0))</f>
        <v>0</v>
      </c>
      <c r="F40" s="61">
        <f t="shared" si="0"/>
        <v>0</v>
      </c>
      <c r="G40" s="61">
        <f t="shared" si="1"/>
        <v>0</v>
      </c>
      <c r="H40" s="46">
        <f t="shared" si="2"/>
        <v>0</v>
      </c>
      <c r="I40" s="61">
        <f t="shared" si="3"/>
        <v>0</v>
      </c>
      <c r="J40" s="61">
        <f t="shared" si="4"/>
        <v>0</v>
      </c>
      <c r="K40" s="46">
        <f>IF(C24="",0,VLOOKUP(C24,'Equipment Wt &amp; Ht'!$A$2:$L$222,7,0))</f>
        <v>0</v>
      </c>
      <c r="L40" s="61">
        <f t="shared" si="5"/>
        <v>0</v>
      </c>
      <c r="M40" s="46">
        <f t="shared" si="6"/>
        <v>0</v>
      </c>
      <c r="N40" s="47">
        <f t="shared" si="7"/>
        <v>0</v>
      </c>
    </row>
    <row r="41" spans="1:71" x14ac:dyDescent="0.2">
      <c r="A41" t="s">
        <v>83</v>
      </c>
      <c r="B41" s="46">
        <f>IF($C25="",0,VLOOKUP($C25,'Equipment Wt &amp; Ht'!$A$2:$J$222,5,0))</f>
        <v>0</v>
      </c>
      <c r="C41" s="60">
        <f t="shared" si="8"/>
        <v>0</v>
      </c>
      <c r="D41" s="60">
        <f t="shared" si="9"/>
        <v>0</v>
      </c>
      <c r="E41" s="46">
        <f>IF(C25="",0,VLOOKUP(C25,'Equipment Wt &amp; Ht'!$A$2:$J$222,6,0))</f>
        <v>0</v>
      </c>
      <c r="F41" s="61">
        <f t="shared" si="0"/>
        <v>0</v>
      </c>
      <c r="G41" s="61">
        <f t="shared" si="1"/>
        <v>0</v>
      </c>
      <c r="H41" s="46">
        <f t="shared" si="2"/>
        <v>0</v>
      </c>
      <c r="I41" s="61">
        <f t="shared" si="3"/>
        <v>0</v>
      </c>
      <c r="J41" s="61">
        <f t="shared" si="4"/>
        <v>0</v>
      </c>
      <c r="K41" s="46">
        <f>IF(C25="",0,VLOOKUP(C25,'Equipment Wt &amp; Ht'!$A$2:$L$222,7,0))</f>
        <v>0</v>
      </c>
      <c r="L41" s="61">
        <f t="shared" si="5"/>
        <v>0</v>
      </c>
      <c r="M41" s="46">
        <f t="shared" si="6"/>
        <v>0</v>
      </c>
      <c r="N41" s="47">
        <f t="shared" si="7"/>
        <v>0</v>
      </c>
    </row>
    <row r="42" spans="1:71" x14ac:dyDescent="0.2">
      <c r="A42" t="s">
        <v>84</v>
      </c>
      <c r="B42" s="57">
        <f>IF($C26="",0,VLOOKUP($C26,'Equipment Wt &amp; Ht'!$A$2:$J$222,5,0))</f>
        <v>0</v>
      </c>
      <c r="C42" s="63">
        <f t="shared" si="8"/>
        <v>0</v>
      </c>
      <c r="D42" s="63">
        <f t="shared" si="9"/>
        <v>0</v>
      </c>
      <c r="E42" s="57">
        <f>IF(C26="",0,VLOOKUP(C26,'Equipment Wt &amp; Ht'!$A$2:$J$222,6,0))</f>
        <v>0</v>
      </c>
      <c r="F42" s="64">
        <f t="shared" si="0"/>
        <v>0</v>
      </c>
      <c r="G42" s="64">
        <f t="shared" si="1"/>
        <v>0</v>
      </c>
      <c r="H42" s="57">
        <f t="shared" si="2"/>
        <v>0</v>
      </c>
      <c r="I42" s="64">
        <f t="shared" si="3"/>
        <v>0</v>
      </c>
      <c r="J42" s="64">
        <f t="shared" si="4"/>
        <v>0</v>
      </c>
      <c r="K42" s="57">
        <f>IF(C26="",0,VLOOKUP(C26,'Equipment Wt &amp; Ht'!$A$2:$L$222,7,0))</f>
        <v>0</v>
      </c>
      <c r="L42" s="64">
        <f t="shared" si="5"/>
        <v>0</v>
      </c>
      <c r="M42" s="57">
        <f t="shared" si="6"/>
        <v>0</v>
      </c>
      <c r="N42" s="58">
        <f t="shared" si="7"/>
        <v>0</v>
      </c>
    </row>
    <row r="43" spans="1:71" x14ac:dyDescent="0.2">
      <c r="A43" s="5" t="s">
        <v>130</v>
      </c>
      <c r="B43" s="275" t="e">
        <f>SUM(B31:D42)</f>
        <v>#N/A</v>
      </c>
      <c r="C43" s="276"/>
      <c r="D43" s="283"/>
      <c r="E43" s="275" t="e">
        <f>SUM(E31:G42)</f>
        <v>#N/A</v>
      </c>
      <c r="F43" s="276"/>
      <c r="G43" s="276"/>
      <c r="H43" s="275" t="e">
        <f>SUM(H31:J42)</f>
        <v>#N/A</v>
      </c>
      <c r="I43" s="276"/>
      <c r="J43" s="283"/>
      <c r="K43" s="275" t="e">
        <f>SUM(K31:L42)</f>
        <v>#N/A</v>
      </c>
      <c r="L43" s="283"/>
      <c r="M43" s="275" t="e">
        <f>SUM(M31:N42)</f>
        <v>#N/A</v>
      </c>
      <c r="N43" s="283"/>
    </row>
    <row r="45" spans="1:71" ht="13.5" thickBot="1" x14ac:dyDescent="0.25"/>
    <row r="46" spans="1:71" ht="18.75" x14ac:dyDescent="0.35">
      <c r="F46" s="265" t="s">
        <v>319</v>
      </c>
      <c r="G46" s="266"/>
      <c r="H46" s="266"/>
      <c r="I46" s="266"/>
      <c r="J46" s="266"/>
      <c r="K46" s="266"/>
      <c r="L46" s="266"/>
      <c r="M46" s="266"/>
      <c r="N46" s="266"/>
      <c r="O46" s="266"/>
      <c r="P46" s="267"/>
      <c r="Q46" s="271" t="s">
        <v>272</v>
      </c>
      <c r="R46" s="266"/>
      <c r="S46" s="266"/>
      <c r="T46" s="266"/>
      <c r="U46" s="266"/>
      <c r="V46" s="266"/>
      <c r="W46" s="266"/>
      <c r="X46" s="266"/>
      <c r="Y46" s="266"/>
      <c r="Z46" s="266"/>
      <c r="AA46" s="268"/>
      <c r="AB46" s="265" t="s">
        <v>331</v>
      </c>
      <c r="AC46" s="266"/>
      <c r="AD46" s="266"/>
      <c r="AE46" s="266"/>
      <c r="AF46" s="266"/>
      <c r="AG46" s="266"/>
      <c r="AH46" s="266"/>
      <c r="AI46" s="266"/>
      <c r="AJ46" s="266"/>
      <c r="AK46" s="266"/>
      <c r="AL46" s="267"/>
      <c r="AM46" s="271" t="s">
        <v>332</v>
      </c>
      <c r="AN46" s="266"/>
      <c r="AO46" s="266"/>
      <c r="AP46" s="266"/>
      <c r="AQ46" s="266"/>
      <c r="AR46" s="266"/>
      <c r="AS46" s="266"/>
      <c r="AT46" s="266"/>
      <c r="AU46" s="266"/>
      <c r="AV46" s="266"/>
      <c r="AW46" s="268"/>
      <c r="AX46" s="265" t="s">
        <v>333</v>
      </c>
      <c r="AY46" s="266"/>
      <c r="AZ46" s="266"/>
      <c r="BA46" s="266"/>
      <c r="BB46" s="266"/>
      <c r="BC46" s="266"/>
      <c r="BD46" s="266"/>
      <c r="BE46" s="266"/>
      <c r="BF46" s="266"/>
      <c r="BG46" s="266"/>
      <c r="BH46" s="267"/>
      <c r="BI46" s="271" t="s">
        <v>334</v>
      </c>
      <c r="BJ46" s="266"/>
      <c r="BK46" s="266"/>
      <c r="BL46" s="266"/>
      <c r="BM46" s="266"/>
      <c r="BN46" s="266"/>
      <c r="BO46" s="266"/>
      <c r="BP46" s="266"/>
      <c r="BQ46" s="266"/>
      <c r="BR46" s="266"/>
      <c r="BS46" s="267"/>
    </row>
    <row r="47" spans="1:71" ht="13.5" thickBot="1" x14ac:dyDescent="0.25">
      <c r="E47" s="108" t="s">
        <v>317</v>
      </c>
      <c r="F47" s="142">
        <v>3</v>
      </c>
      <c r="G47" s="31">
        <v>4</v>
      </c>
      <c r="H47" s="31">
        <v>5</v>
      </c>
      <c r="I47" s="31">
        <v>6</v>
      </c>
      <c r="J47" s="31">
        <v>7</v>
      </c>
      <c r="K47" s="31">
        <v>8</v>
      </c>
      <c r="L47" s="31">
        <v>9</v>
      </c>
      <c r="M47" s="31">
        <v>10</v>
      </c>
      <c r="N47" s="31">
        <v>11</v>
      </c>
      <c r="O47" s="31">
        <v>12</v>
      </c>
      <c r="P47" s="143">
        <v>13</v>
      </c>
      <c r="Q47" s="141">
        <v>14</v>
      </c>
      <c r="R47" s="31">
        <v>15</v>
      </c>
      <c r="S47" s="31">
        <v>16</v>
      </c>
      <c r="T47" s="31">
        <v>17</v>
      </c>
      <c r="U47" s="31">
        <v>18</v>
      </c>
      <c r="V47" s="31">
        <v>19</v>
      </c>
      <c r="W47" s="31">
        <v>20</v>
      </c>
      <c r="X47" s="31">
        <v>21</v>
      </c>
      <c r="Y47" s="31">
        <v>22</v>
      </c>
      <c r="Z47" s="31">
        <v>23</v>
      </c>
      <c r="AA47" s="140">
        <v>24</v>
      </c>
      <c r="AB47" s="142">
        <v>25</v>
      </c>
      <c r="AC47" s="31">
        <v>26</v>
      </c>
      <c r="AD47" s="31">
        <v>27</v>
      </c>
      <c r="AE47" s="31">
        <v>28</v>
      </c>
      <c r="AF47" s="31">
        <v>29</v>
      </c>
      <c r="AG47" s="31">
        <v>30</v>
      </c>
      <c r="AH47" s="31">
        <v>31</v>
      </c>
      <c r="AI47" s="31">
        <v>32</v>
      </c>
      <c r="AJ47" s="31">
        <v>33</v>
      </c>
      <c r="AK47" s="31">
        <v>34</v>
      </c>
      <c r="AL47" s="143">
        <v>35</v>
      </c>
      <c r="AM47" s="141">
        <v>36</v>
      </c>
      <c r="AN47" s="31">
        <v>37</v>
      </c>
      <c r="AO47" s="31">
        <v>38</v>
      </c>
      <c r="AP47" s="31">
        <v>39</v>
      </c>
      <c r="AQ47" s="31">
        <v>40</v>
      </c>
      <c r="AR47" s="31">
        <v>41</v>
      </c>
      <c r="AS47" s="31">
        <v>42</v>
      </c>
      <c r="AT47" s="31">
        <v>43</v>
      </c>
      <c r="AU47" s="31">
        <v>44</v>
      </c>
      <c r="AV47" s="31">
        <v>45</v>
      </c>
      <c r="AW47" s="140">
        <v>46</v>
      </c>
      <c r="AX47" s="142">
        <v>47</v>
      </c>
      <c r="AY47" s="31">
        <v>48</v>
      </c>
      <c r="AZ47" s="31">
        <v>49</v>
      </c>
      <c r="BA47" s="31">
        <v>50</v>
      </c>
      <c r="BB47" s="31">
        <v>51</v>
      </c>
      <c r="BC47" s="31">
        <v>52</v>
      </c>
      <c r="BD47" s="31">
        <v>53</v>
      </c>
      <c r="BE47" s="31">
        <v>54</v>
      </c>
      <c r="BF47" s="31">
        <v>55</v>
      </c>
      <c r="BG47" s="31">
        <v>56</v>
      </c>
      <c r="BH47" s="143">
        <v>57</v>
      </c>
      <c r="BI47" s="141">
        <v>58</v>
      </c>
      <c r="BJ47" s="31">
        <v>59</v>
      </c>
      <c r="BK47" s="31">
        <v>60</v>
      </c>
      <c r="BL47" s="31">
        <v>61</v>
      </c>
      <c r="BM47" s="31">
        <v>62</v>
      </c>
      <c r="BN47" s="31">
        <v>63</v>
      </c>
      <c r="BO47" s="31">
        <v>64</v>
      </c>
      <c r="BP47" s="31">
        <v>65</v>
      </c>
      <c r="BQ47" s="31">
        <v>66</v>
      </c>
      <c r="BR47" s="31">
        <v>67</v>
      </c>
      <c r="BS47" s="143">
        <v>68</v>
      </c>
    </row>
    <row r="48" spans="1:71" ht="16.5" thickBot="1" x14ac:dyDescent="0.35">
      <c r="A48" s="159" t="s">
        <v>296</v>
      </c>
      <c r="B48" s="160" t="s">
        <v>328</v>
      </c>
      <c r="C48" s="160" t="s">
        <v>319</v>
      </c>
      <c r="D48" s="160" t="s">
        <v>321</v>
      </c>
      <c r="E48" s="176" t="s">
        <v>329</v>
      </c>
      <c r="F48" s="144">
        <v>0</v>
      </c>
      <c r="G48" s="145">
        <v>5</v>
      </c>
      <c r="H48" s="145">
        <v>10</v>
      </c>
      <c r="I48" s="145">
        <v>15</v>
      </c>
      <c r="J48" s="145">
        <v>21</v>
      </c>
      <c r="K48" s="145">
        <v>23</v>
      </c>
      <c r="L48" s="145">
        <v>25</v>
      </c>
      <c r="M48" s="145">
        <v>29</v>
      </c>
      <c r="N48" s="145">
        <v>30</v>
      </c>
      <c r="O48" s="145">
        <v>36</v>
      </c>
      <c r="P48" s="146">
        <v>40</v>
      </c>
      <c r="Q48" s="148">
        <v>0</v>
      </c>
      <c r="R48" s="145">
        <v>5</v>
      </c>
      <c r="S48" s="145">
        <v>10</v>
      </c>
      <c r="T48" s="145">
        <v>15</v>
      </c>
      <c r="U48" s="145">
        <v>21</v>
      </c>
      <c r="V48" s="145">
        <v>23</v>
      </c>
      <c r="W48" s="145">
        <v>25</v>
      </c>
      <c r="X48" s="145">
        <v>29</v>
      </c>
      <c r="Y48" s="145">
        <v>30</v>
      </c>
      <c r="Z48" s="145">
        <v>36</v>
      </c>
      <c r="AA48" s="164">
        <v>40</v>
      </c>
      <c r="AB48" s="144">
        <v>0</v>
      </c>
      <c r="AC48" s="145">
        <v>5</v>
      </c>
      <c r="AD48" s="145">
        <v>10</v>
      </c>
      <c r="AE48" s="145">
        <v>15</v>
      </c>
      <c r="AF48" s="145">
        <v>21</v>
      </c>
      <c r="AG48" s="145">
        <v>23</v>
      </c>
      <c r="AH48" s="145">
        <v>25</v>
      </c>
      <c r="AI48" s="145">
        <v>29</v>
      </c>
      <c r="AJ48" s="145">
        <v>30</v>
      </c>
      <c r="AK48" s="145">
        <v>36</v>
      </c>
      <c r="AL48" s="146">
        <v>40</v>
      </c>
      <c r="AM48" s="148">
        <v>0</v>
      </c>
      <c r="AN48" s="145">
        <v>5</v>
      </c>
      <c r="AO48" s="145">
        <v>10</v>
      </c>
      <c r="AP48" s="145">
        <v>15</v>
      </c>
      <c r="AQ48" s="145">
        <v>21</v>
      </c>
      <c r="AR48" s="145">
        <v>23</v>
      </c>
      <c r="AS48" s="145">
        <v>25</v>
      </c>
      <c r="AT48" s="145">
        <v>29</v>
      </c>
      <c r="AU48" s="145">
        <v>30</v>
      </c>
      <c r="AV48" s="145">
        <v>36</v>
      </c>
      <c r="AW48" s="164">
        <v>40</v>
      </c>
      <c r="AX48" s="144">
        <v>0</v>
      </c>
      <c r="AY48" s="145">
        <v>5</v>
      </c>
      <c r="AZ48" s="145">
        <v>10</v>
      </c>
      <c r="BA48" s="145">
        <v>15</v>
      </c>
      <c r="BB48" s="145">
        <v>21</v>
      </c>
      <c r="BC48" s="145">
        <v>23</v>
      </c>
      <c r="BD48" s="145">
        <v>25</v>
      </c>
      <c r="BE48" s="145">
        <v>29</v>
      </c>
      <c r="BF48" s="145">
        <v>30</v>
      </c>
      <c r="BG48" s="145">
        <v>36</v>
      </c>
      <c r="BH48" s="146">
        <v>40</v>
      </c>
      <c r="BI48" s="148">
        <v>0</v>
      </c>
      <c r="BJ48" s="145">
        <v>5</v>
      </c>
      <c r="BK48" s="145">
        <v>10</v>
      </c>
      <c r="BL48" s="145">
        <v>15</v>
      </c>
      <c r="BM48" s="145">
        <v>21</v>
      </c>
      <c r="BN48" s="145">
        <v>23</v>
      </c>
      <c r="BO48" s="145">
        <v>25</v>
      </c>
      <c r="BP48" s="145">
        <v>29</v>
      </c>
      <c r="BQ48" s="145">
        <v>30</v>
      </c>
      <c r="BR48" s="145">
        <v>36</v>
      </c>
      <c r="BS48" s="146">
        <v>40</v>
      </c>
    </row>
    <row r="49" spans="1:71" x14ac:dyDescent="0.2">
      <c r="A49" s="172" t="s">
        <v>101</v>
      </c>
      <c r="B49" s="106" t="e">
        <f>VLOOKUP($D$13,'Mast Arm Pole Capacities'!$A$5:$Q$10,10,0)</f>
        <v>#N/A</v>
      </c>
      <c r="C49" s="98" t="e">
        <f>VLOOKUP($D$13,'Mast Arm Pole Capacities'!$A$5:$Q$10,11,0)</f>
        <v>#N/A</v>
      </c>
      <c r="D49" s="97" t="e">
        <f>VLOOKUP($D$13,'Mast Arm Pole Capacities'!$A$5:$Q$10,12,0)</f>
        <v>#N/A</v>
      </c>
      <c r="E49" s="196" t="e">
        <f>VLOOKUP($D$13,'Mast Arm Pole Capacities'!$A$5:$Q$10,13,0)</f>
        <v>#N/A</v>
      </c>
      <c r="F49" s="199" t="e">
        <f>IF(($B49-F$48)&gt;=0,$C49,0)</f>
        <v>#N/A</v>
      </c>
      <c r="G49" s="178" t="e">
        <f t="shared" ref="G49:P49" si="10">IF(($B49-G$48)&gt;=0,$C49,0)</f>
        <v>#N/A</v>
      </c>
      <c r="H49" s="178" t="e">
        <f t="shared" si="10"/>
        <v>#N/A</v>
      </c>
      <c r="I49" s="178" t="e">
        <f t="shared" si="10"/>
        <v>#N/A</v>
      </c>
      <c r="J49" s="178" t="e">
        <f t="shared" si="10"/>
        <v>#N/A</v>
      </c>
      <c r="K49" s="178" t="e">
        <f t="shared" si="10"/>
        <v>#N/A</v>
      </c>
      <c r="L49" s="178" t="e">
        <f t="shared" si="10"/>
        <v>#N/A</v>
      </c>
      <c r="M49" s="178" t="e">
        <f t="shared" si="10"/>
        <v>#N/A</v>
      </c>
      <c r="N49" s="178" t="e">
        <f>IF(($B49-N$48)&gt;=0,$C49,0)</f>
        <v>#N/A</v>
      </c>
      <c r="O49" s="178" t="e">
        <f t="shared" si="10"/>
        <v>#N/A</v>
      </c>
      <c r="P49" s="201" t="e">
        <f t="shared" si="10"/>
        <v>#N/A</v>
      </c>
      <c r="Q49" s="202" t="e">
        <f>IF(($B49-Q$48)&gt;=0,$C49*($B49-Q$48),0)</f>
        <v>#N/A</v>
      </c>
      <c r="R49" s="178" t="e">
        <f t="shared" ref="R49:AA49" si="11">IF(($B49-R$48)&gt;=0,$C49*($B49-R$48),0)</f>
        <v>#N/A</v>
      </c>
      <c r="S49" s="178" t="e">
        <f t="shared" si="11"/>
        <v>#N/A</v>
      </c>
      <c r="T49" s="178" t="e">
        <f t="shared" si="11"/>
        <v>#N/A</v>
      </c>
      <c r="U49" s="178" t="e">
        <f t="shared" si="11"/>
        <v>#N/A</v>
      </c>
      <c r="V49" s="178" t="e">
        <f t="shared" si="11"/>
        <v>#N/A</v>
      </c>
      <c r="W49" s="178" t="e">
        <f t="shared" si="11"/>
        <v>#N/A</v>
      </c>
      <c r="X49" s="178" t="e">
        <f t="shared" si="11"/>
        <v>#N/A</v>
      </c>
      <c r="Y49" s="178" t="e">
        <f t="shared" si="11"/>
        <v>#N/A</v>
      </c>
      <c r="Z49" s="178" t="e">
        <f t="shared" si="11"/>
        <v>#N/A</v>
      </c>
      <c r="AA49" s="200" t="e">
        <f t="shared" si="11"/>
        <v>#N/A</v>
      </c>
      <c r="AB49" s="199" t="e">
        <f>IF(($B49-AB$48)&gt;=0,$D49,0)</f>
        <v>#N/A</v>
      </c>
      <c r="AC49" s="178" t="e">
        <f t="shared" ref="AC49:AL49" si="12">IF(($B49-AC$48)&gt;=0,$D49,0)</f>
        <v>#N/A</v>
      </c>
      <c r="AD49" s="178" t="e">
        <f t="shared" si="12"/>
        <v>#N/A</v>
      </c>
      <c r="AE49" s="178" t="e">
        <f t="shared" si="12"/>
        <v>#N/A</v>
      </c>
      <c r="AF49" s="178" t="e">
        <f t="shared" si="12"/>
        <v>#N/A</v>
      </c>
      <c r="AG49" s="178" t="e">
        <f t="shared" si="12"/>
        <v>#N/A</v>
      </c>
      <c r="AH49" s="178" t="e">
        <f t="shared" si="12"/>
        <v>#N/A</v>
      </c>
      <c r="AI49" s="178" t="e">
        <f t="shared" si="12"/>
        <v>#N/A</v>
      </c>
      <c r="AJ49" s="178" t="e">
        <f t="shared" si="12"/>
        <v>#N/A</v>
      </c>
      <c r="AK49" s="178" t="e">
        <f t="shared" si="12"/>
        <v>#N/A</v>
      </c>
      <c r="AL49" s="201" t="e">
        <f t="shared" si="12"/>
        <v>#N/A</v>
      </c>
      <c r="AM49" s="202" t="e">
        <f>IF(($B49-AM$48)&gt;=0,$D49*($B49-AM$48),0)</f>
        <v>#N/A</v>
      </c>
      <c r="AN49" s="178" t="e">
        <f t="shared" ref="AN49:AW49" si="13">IF(($B49-AN$48)&gt;=0,$D49*($B49-AN$48),0)</f>
        <v>#N/A</v>
      </c>
      <c r="AO49" s="178" t="e">
        <f t="shared" si="13"/>
        <v>#N/A</v>
      </c>
      <c r="AP49" s="178" t="e">
        <f t="shared" si="13"/>
        <v>#N/A</v>
      </c>
      <c r="AQ49" s="178" t="e">
        <f t="shared" si="13"/>
        <v>#N/A</v>
      </c>
      <c r="AR49" s="178" t="e">
        <f t="shared" si="13"/>
        <v>#N/A</v>
      </c>
      <c r="AS49" s="178" t="e">
        <f t="shared" si="13"/>
        <v>#N/A</v>
      </c>
      <c r="AT49" s="178" t="e">
        <f t="shared" si="13"/>
        <v>#N/A</v>
      </c>
      <c r="AU49" s="178" t="e">
        <f t="shared" si="13"/>
        <v>#N/A</v>
      </c>
      <c r="AV49" s="178" t="e">
        <f t="shared" si="13"/>
        <v>#N/A</v>
      </c>
      <c r="AW49" s="200" t="e">
        <f t="shared" si="13"/>
        <v>#N/A</v>
      </c>
      <c r="AX49" s="199" t="e">
        <f>IF(($B49-AX$48)&gt;=0,$E49,0)</f>
        <v>#N/A</v>
      </c>
      <c r="AY49" s="178" t="e">
        <f t="shared" ref="AY49:BH49" si="14">IF(($B49-AY$48)&gt;=0,$E49,0)</f>
        <v>#N/A</v>
      </c>
      <c r="AZ49" s="178" t="e">
        <f t="shared" si="14"/>
        <v>#N/A</v>
      </c>
      <c r="BA49" s="178" t="e">
        <f t="shared" si="14"/>
        <v>#N/A</v>
      </c>
      <c r="BB49" s="178" t="e">
        <f t="shared" si="14"/>
        <v>#N/A</v>
      </c>
      <c r="BC49" s="178" t="e">
        <f t="shared" si="14"/>
        <v>#N/A</v>
      </c>
      <c r="BD49" s="178" t="e">
        <f t="shared" si="14"/>
        <v>#N/A</v>
      </c>
      <c r="BE49" s="178" t="e">
        <f t="shared" si="14"/>
        <v>#N/A</v>
      </c>
      <c r="BF49" s="178" t="e">
        <f t="shared" si="14"/>
        <v>#N/A</v>
      </c>
      <c r="BG49" s="178" t="e">
        <f t="shared" si="14"/>
        <v>#N/A</v>
      </c>
      <c r="BH49" s="201" t="e">
        <f t="shared" si="14"/>
        <v>#N/A</v>
      </c>
      <c r="BI49" s="202" t="e">
        <f>IF(($B49-BI$48)&gt;=0,$E49*($B49-BI$48),0)</f>
        <v>#N/A</v>
      </c>
      <c r="BJ49" s="178" t="e">
        <f t="shared" ref="BJ49:BS49" si="15">IF(($B49-BJ$48)&gt;=0,$E49*($B49-BJ$48),0)</f>
        <v>#N/A</v>
      </c>
      <c r="BK49" s="178" t="e">
        <f t="shared" si="15"/>
        <v>#N/A</v>
      </c>
      <c r="BL49" s="178" t="e">
        <f t="shared" si="15"/>
        <v>#N/A</v>
      </c>
      <c r="BM49" s="178" t="e">
        <f t="shared" si="15"/>
        <v>#N/A</v>
      </c>
      <c r="BN49" s="178" t="e">
        <f t="shared" si="15"/>
        <v>#N/A</v>
      </c>
      <c r="BO49" s="178" t="e">
        <f t="shared" si="15"/>
        <v>#N/A</v>
      </c>
      <c r="BP49" s="178" t="e">
        <f t="shared" si="15"/>
        <v>#N/A</v>
      </c>
      <c r="BQ49" s="178" t="e">
        <f t="shared" si="15"/>
        <v>#N/A</v>
      </c>
      <c r="BR49" s="178" t="e">
        <f t="shared" si="15"/>
        <v>#N/A</v>
      </c>
      <c r="BS49" s="201" t="e">
        <f t="shared" si="15"/>
        <v>#N/A</v>
      </c>
    </row>
    <row r="50" spans="1:71" x14ac:dyDescent="0.2">
      <c r="A50" s="172" t="s">
        <v>93</v>
      </c>
      <c r="B50" s="106" t="e">
        <f>VLOOKUP($D$13,'Mast Arm Pole Capacities'!$A$5:$Q$10,14,0)</f>
        <v>#N/A</v>
      </c>
      <c r="C50" s="98" t="e">
        <f>VLOOKUP($D$13,'Mast Arm Pole Capacities'!$A$5:$Q$10,15,0)</f>
        <v>#N/A</v>
      </c>
      <c r="D50" s="97" t="e">
        <f>VLOOKUP($D$13,'Mast Arm Pole Capacities'!$A$5:$Q$10,16,0)</f>
        <v>#N/A</v>
      </c>
      <c r="E50" s="196" t="e">
        <f>VLOOKUP($D$13,'Mast Arm Pole Capacities'!$A$5:$Q$10,17,0)</f>
        <v>#N/A</v>
      </c>
      <c r="F50" s="188" t="e">
        <f t="shared" ref="F50:P60" si="16">IF(($B50-F$48)&gt;=0,$C50,0)</f>
        <v>#N/A</v>
      </c>
      <c r="G50" s="97" t="e">
        <f t="shared" si="16"/>
        <v>#N/A</v>
      </c>
      <c r="H50" s="97" t="e">
        <f t="shared" si="16"/>
        <v>#N/A</v>
      </c>
      <c r="I50" s="97" t="e">
        <f t="shared" si="16"/>
        <v>#N/A</v>
      </c>
      <c r="J50" s="97" t="e">
        <f t="shared" si="16"/>
        <v>#N/A</v>
      </c>
      <c r="K50" s="97" t="e">
        <f t="shared" si="16"/>
        <v>#N/A</v>
      </c>
      <c r="L50" s="97" t="e">
        <f t="shared" si="16"/>
        <v>#N/A</v>
      </c>
      <c r="M50" s="97" t="e">
        <f t="shared" si="16"/>
        <v>#N/A</v>
      </c>
      <c r="N50" s="97" t="e">
        <f t="shared" si="16"/>
        <v>#N/A</v>
      </c>
      <c r="O50" s="97" t="e">
        <f t="shared" si="16"/>
        <v>#N/A</v>
      </c>
      <c r="P50" s="189" t="e">
        <f t="shared" si="16"/>
        <v>#N/A</v>
      </c>
      <c r="Q50" s="195" t="e">
        <f t="shared" ref="Q50:AA60" si="17">IF(($B50-Q$48)&gt;=0,$C50*($B50-Q$48),0)</f>
        <v>#N/A</v>
      </c>
      <c r="R50" s="97" t="e">
        <f t="shared" si="17"/>
        <v>#N/A</v>
      </c>
      <c r="S50" s="97" t="e">
        <f t="shared" si="17"/>
        <v>#N/A</v>
      </c>
      <c r="T50" s="97" t="e">
        <f t="shared" si="17"/>
        <v>#N/A</v>
      </c>
      <c r="U50" s="97" t="e">
        <f t="shared" si="17"/>
        <v>#N/A</v>
      </c>
      <c r="V50" s="97" t="e">
        <f t="shared" si="17"/>
        <v>#N/A</v>
      </c>
      <c r="W50" s="97" t="e">
        <f t="shared" si="17"/>
        <v>#N/A</v>
      </c>
      <c r="X50" s="97" t="e">
        <f t="shared" si="17"/>
        <v>#N/A</v>
      </c>
      <c r="Y50" s="97" t="e">
        <f t="shared" si="17"/>
        <v>#N/A</v>
      </c>
      <c r="Z50" s="97" t="e">
        <f t="shared" si="17"/>
        <v>#N/A</v>
      </c>
      <c r="AA50" s="196" t="e">
        <f t="shared" si="17"/>
        <v>#N/A</v>
      </c>
      <c r="AB50" s="188" t="e">
        <f>IF(($B50-AB$48)&gt;=0,$D50,0)</f>
        <v>#N/A</v>
      </c>
      <c r="AC50" s="97" t="e">
        <f t="shared" ref="AB50:AL60" si="18">IF(($B50-AC$48)&gt;=0,$D50,0)</f>
        <v>#N/A</v>
      </c>
      <c r="AD50" s="97" t="e">
        <f t="shared" si="18"/>
        <v>#N/A</v>
      </c>
      <c r="AE50" s="97" t="e">
        <f t="shared" si="18"/>
        <v>#N/A</v>
      </c>
      <c r="AF50" s="97" t="e">
        <f t="shared" si="18"/>
        <v>#N/A</v>
      </c>
      <c r="AG50" s="97" t="e">
        <f t="shared" si="18"/>
        <v>#N/A</v>
      </c>
      <c r="AH50" s="97" t="e">
        <f t="shared" si="18"/>
        <v>#N/A</v>
      </c>
      <c r="AI50" s="97" t="e">
        <f t="shared" si="18"/>
        <v>#N/A</v>
      </c>
      <c r="AJ50" s="97" t="e">
        <f t="shared" si="18"/>
        <v>#N/A</v>
      </c>
      <c r="AK50" s="97" t="e">
        <f t="shared" si="18"/>
        <v>#N/A</v>
      </c>
      <c r="AL50" s="189" t="e">
        <f t="shared" si="18"/>
        <v>#N/A</v>
      </c>
      <c r="AM50" s="195" t="e">
        <f t="shared" ref="AM50:AW60" si="19">IF(($B50-AM$48)&gt;=0,$D50*($B50-AM$48),0)</f>
        <v>#N/A</v>
      </c>
      <c r="AN50" s="97" t="e">
        <f t="shared" si="19"/>
        <v>#N/A</v>
      </c>
      <c r="AO50" s="97" t="e">
        <f t="shared" si="19"/>
        <v>#N/A</v>
      </c>
      <c r="AP50" s="97" t="e">
        <f t="shared" si="19"/>
        <v>#N/A</v>
      </c>
      <c r="AQ50" s="97" t="e">
        <f t="shared" si="19"/>
        <v>#N/A</v>
      </c>
      <c r="AR50" s="97" t="e">
        <f t="shared" si="19"/>
        <v>#N/A</v>
      </c>
      <c r="AS50" s="97" t="e">
        <f t="shared" si="19"/>
        <v>#N/A</v>
      </c>
      <c r="AT50" s="97" t="e">
        <f t="shared" si="19"/>
        <v>#N/A</v>
      </c>
      <c r="AU50" s="97" t="e">
        <f t="shared" si="19"/>
        <v>#N/A</v>
      </c>
      <c r="AV50" s="97" t="e">
        <f t="shared" si="19"/>
        <v>#N/A</v>
      </c>
      <c r="AW50" s="196" t="e">
        <f t="shared" si="19"/>
        <v>#N/A</v>
      </c>
      <c r="AX50" s="188" t="e">
        <f t="shared" ref="AX50:BH60" si="20">IF(($B50-AX$48)&gt;=0,$E50,0)</f>
        <v>#N/A</v>
      </c>
      <c r="AY50" s="97" t="e">
        <f t="shared" si="20"/>
        <v>#N/A</v>
      </c>
      <c r="AZ50" s="97" t="e">
        <f t="shared" si="20"/>
        <v>#N/A</v>
      </c>
      <c r="BA50" s="97" t="e">
        <f t="shared" si="20"/>
        <v>#N/A</v>
      </c>
      <c r="BB50" s="97" t="e">
        <f t="shared" si="20"/>
        <v>#N/A</v>
      </c>
      <c r="BC50" s="97" t="e">
        <f t="shared" si="20"/>
        <v>#N/A</v>
      </c>
      <c r="BD50" s="97" t="e">
        <f t="shared" si="20"/>
        <v>#N/A</v>
      </c>
      <c r="BE50" s="97" t="e">
        <f t="shared" si="20"/>
        <v>#N/A</v>
      </c>
      <c r="BF50" s="97" t="e">
        <f t="shared" si="20"/>
        <v>#N/A</v>
      </c>
      <c r="BG50" s="97" t="e">
        <f t="shared" si="20"/>
        <v>#N/A</v>
      </c>
      <c r="BH50" s="189" t="e">
        <f t="shared" si="20"/>
        <v>#N/A</v>
      </c>
      <c r="BI50" s="195" t="e">
        <f t="shared" ref="BI50:BS60" si="21">IF(($B50-BI$48)&gt;=0,$E50*($B50-BI$48),0)</f>
        <v>#N/A</v>
      </c>
      <c r="BJ50" s="97" t="e">
        <f t="shared" si="21"/>
        <v>#N/A</v>
      </c>
      <c r="BK50" s="97" t="e">
        <f t="shared" si="21"/>
        <v>#N/A</v>
      </c>
      <c r="BL50" s="97" t="e">
        <f t="shared" si="21"/>
        <v>#N/A</v>
      </c>
      <c r="BM50" s="97" t="e">
        <f t="shared" si="21"/>
        <v>#N/A</v>
      </c>
      <c r="BN50" s="97" t="e">
        <f t="shared" si="21"/>
        <v>#N/A</v>
      </c>
      <c r="BO50" s="97" t="e">
        <f t="shared" si="21"/>
        <v>#N/A</v>
      </c>
      <c r="BP50" s="97" t="e">
        <f t="shared" si="21"/>
        <v>#N/A</v>
      </c>
      <c r="BQ50" s="97" t="e">
        <f t="shared" si="21"/>
        <v>#N/A</v>
      </c>
      <c r="BR50" s="97" t="e">
        <f t="shared" si="21"/>
        <v>#N/A</v>
      </c>
      <c r="BS50" s="189" t="e">
        <f t="shared" si="21"/>
        <v>#N/A</v>
      </c>
    </row>
    <row r="51" spans="1:71" x14ac:dyDescent="0.2">
      <c r="A51" s="153" t="s">
        <v>75</v>
      </c>
      <c r="B51" s="106">
        <f>B17</f>
        <v>0</v>
      </c>
      <c r="C51" s="98">
        <f>SUM(B33:D33)</f>
        <v>0</v>
      </c>
      <c r="D51" s="97">
        <f>SUM(E33:G33)</f>
        <v>0</v>
      </c>
      <c r="E51" s="196">
        <f>SUM(K33:L33)</f>
        <v>0</v>
      </c>
      <c r="F51" s="188">
        <f t="shared" si="16"/>
        <v>0</v>
      </c>
      <c r="G51" s="97">
        <f t="shared" si="16"/>
        <v>0</v>
      </c>
      <c r="H51" s="97">
        <f t="shared" si="16"/>
        <v>0</v>
      </c>
      <c r="I51" s="97">
        <f t="shared" si="16"/>
        <v>0</v>
      </c>
      <c r="J51" s="97">
        <f t="shared" si="16"/>
        <v>0</v>
      </c>
      <c r="K51" s="97">
        <f t="shared" si="16"/>
        <v>0</v>
      </c>
      <c r="L51" s="97">
        <f t="shared" si="16"/>
        <v>0</v>
      </c>
      <c r="M51" s="97">
        <f t="shared" si="16"/>
        <v>0</v>
      </c>
      <c r="N51" s="97">
        <f>IF(($B51-N$48)&gt;=0,$C51,0)</f>
        <v>0</v>
      </c>
      <c r="O51" s="97">
        <f t="shared" si="16"/>
        <v>0</v>
      </c>
      <c r="P51" s="189">
        <f t="shared" si="16"/>
        <v>0</v>
      </c>
      <c r="Q51" s="195">
        <f t="shared" si="17"/>
        <v>0</v>
      </c>
      <c r="R51" s="97">
        <f t="shared" si="17"/>
        <v>0</v>
      </c>
      <c r="S51" s="97">
        <f t="shared" si="17"/>
        <v>0</v>
      </c>
      <c r="T51" s="97">
        <f t="shared" si="17"/>
        <v>0</v>
      </c>
      <c r="U51" s="97">
        <f t="shared" si="17"/>
        <v>0</v>
      </c>
      <c r="V51" s="97">
        <f t="shared" si="17"/>
        <v>0</v>
      </c>
      <c r="W51" s="97">
        <f t="shared" si="17"/>
        <v>0</v>
      </c>
      <c r="X51" s="97">
        <f t="shared" si="17"/>
        <v>0</v>
      </c>
      <c r="Y51" s="97">
        <f t="shared" si="17"/>
        <v>0</v>
      </c>
      <c r="Z51" s="97">
        <f t="shared" si="17"/>
        <v>0</v>
      </c>
      <c r="AA51" s="196">
        <f t="shared" si="17"/>
        <v>0</v>
      </c>
      <c r="AB51" s="188">
        <f t="shared" si="18"/>
        <v>0</v>
      </c>
      <c r="AC51" s="97">
        <f t="shared" si="18"/>
        <v>0</v>
      </c>
      <c r="AD51" s="97">
        <f t="shared" si="18"/>
        <v>0</v>
      </c>
      <c r="AE51" s="97">
        <f t="shared" si="18"/>
        <v>0</v>
      </c>
      <c r="AF51" s="97">
        <f t="shared" si="18"/>
        <v>0</v>
      </c>
      <c r="AG51" s="97">
        <f t="shared" si="18"/>
        <v>0</v>
      </c>
      <c r="AH51" s="97">
        <f t="shared" si="18"/>
        <v>0</v>
      </c>
      <c r="AI51" s="97">
        <f t="shared" si="18"/>
        <v>0</v>
      </c>
      <c r="AJ51" s="97">
        <f t="shared" si="18"/>
        <v>0</v>
      </c>
      <c r="AK51" s="97">
        <f t="shared" si="18"/>
        <v>0</v>
      </c>
      <c r="AL51" s="189">
        <f t="shared" si="18"/>
        <v>0</v>
      </c>
      <c r="AM51" s="195">
        <f t="shared" si="19"/>
        <v>0</v>
      </c>
      <c r="AN51" s="97">
        <f t="shared" si="19"/>
        <v>0</v>
      </c>
      <c r="AO51" s="97">
        <f t="shared" si="19"/>
        <v>0</v>
      </c>
      <c r="AP51" s="97">
        <f t="shared" si="19"/>
        <v>0</v>
      </c>
      <c r="AQ51" s="97">
        <f t="shared" si="19"/>
        <v>0</v>
      </c>
      <c r="AR51" s="97">
        <f t="shared" si="19"/>
        <v>0</v>
      </c>
      <c r="AS51" s="97">
        <f t="shared" si="19"/>
        <v>0</v>
      </c>
      <c r="AT51" s="97">
        <f t="shared" si="19"/>
        <v>0</v>
      </c>
      <c r="AU51" s="97">
        <f t="shared" si="19"/>
        <v>0</v>
      </c>
      <c r="AV51" s="97">
        <f t="shared" si="19"/>
        <v>0</v>
      </c>
      <c r="AW51" s="196">
        <f t="shared" si="19"/>
        <v>0</v>
      </c>
      <c r="AX51" s="188">
        <f t="shared" si="20"/>
        <v>0</v>
      </c>
      <c r="AY51" s="97">
        <f t="shared" si="20"/>
        <v>0</v>
      </c>
      <c r="AZ51" s="97">
        <f t="shared" si="20"/>
        <v>0</v>
      </c>
      <c r="BA51" s="97">
        <f t="shared" si="20"/>
        <v>0</v>
      </c>
      <c r="BB51" s="97">
        <f t="shared" si="20"/>
        <v>0</v>
      </c>
      <c r="BC51" s="97">
        <f t="shared" si="20"/>
        <v>0</v>
      </c>
      <c r="BD51" s="97">
        <f t="shared" si="20"/>
        <v>0</v>
      </c>
      <c r="BE51" s="97">
        <f t="shared" si="20"/>
        <v>0</v>
      </c>
      <c r="BF51" s="97">
        <f t="shared" si="20"/>
        <v>0</v>
      </c>
      <c r="BG51" s="97">
        <f t="shared" si="20"/>
        <v>0</v>
      </c>
      <c r="BH51" s="189">
        <f t="shared" si="20"/>
        <v>0</v>
      </c>
      <c r="BI51" s="195">
        <f t="shared" si="21"/>
        <v>0</v>
      </c>
      <c r="BJ51" s="97">
        <f t="shared" si="21"/>
        <v>0</v>
      </c>
      <c r="BK51" s="97">
        <f t="shared" si="21"/>
        <v>0</v>
      </c>
      <c r="BL51" s="97">
        <f t="shared" si="21"/>
        <v>0</v>
      </c>
      <c r="BM51" s="97">
        <f t="shared" si="21"/>
        <v>0</v>
      </c>
      <c r="BN51" s="97">
        <f t="shared" si="21"/>
        <v>0</v>
      </c>
      <c r="BO51" s="97">
        <f t="shared" si="21"/>
        <v>0</v>
      </c>
      <c r="BP51" s="97">
        <f t="shared" si="21"/>
        <v>0</v>
      </c>
      <c r="BQ51" s="97">
        <f t="shared" si="21"/>
        <v>0</v>
      </c>
      <c r="BR51" s="97">
        <f t="shared" si="21"/>
        <v>0</v>
      </c>
      <c r="BS51" s="189">
        <f t="shared" si="21"/>
        <v>0</v>
      </c>
    </row>
    <row r="52" spans="1:71" x14ac:dyDescent="0.2">
      <c r="A52" s="153" t="s">
        <v>76</v>
      </c>
      <c r="B52" s="106">
        <f t="shared" ref="B52:B60" si="22">B18</f>
        <v>0</v>
      </c>
      <c r="C52" s="98">
        <f t="shared" ref="C52:C60" si="23">SUM(B34:D34)</f>
        <v>0</v>
      </c>
      <c r="D52" s="97">
        <f t="shared" ref="D52:D60" si="24">SUM(E34:G34)</f>
        <v>0</v>
      </c>
      <c r="E52" s="196">
        <f t="shared" ref="E52:E60" si="25">SUM(K34:L34)</f>
        <v>0</v>
      </c>
      <c r="F52" s="188">
        <f t="shared" si="16"/>
        <v>0</v>
      </c>
      <c r="G52" s="97">
        <f t="shared" si="16"/>
        <v>0</v>
      </c>
      <c r="H52" s="97">
        <f t="shared" si="16"/>
        <v>0</v>
      </c>
      <c r="I52" s="97">
        <f t="shared" si="16"/>
        <v>0</v>
      </c>
      <c r="J52" s="97">
        <f t="shared" si="16"/>
        <v>0</v>
      </c>
      <c r="K52" s="97">
        <f t="shared" si="16"/>
        <v>0</v>
      </c>
      <c r="L52" s="97">
        <f t="shared" si="16"/>
        <v>0</v>
      </c>
      <c r="M52" s="97">
        <f t="shared" si="16"/>
        <v>0</v>
      </c>
      <c r="N52" s="97">
        <f t="shared" si="16"/>
        <v>0</v>
      </c>
      <c r="O52" s="97">
        <f t="shared" si="16"/>
        <v>0</v>
      </c>
      <c r="P52" s="189">
        <f t="shared" si="16"/>
        <v>0</v>
      </c>
      <c r="Q52" s="195">
        <f t="shared" si="17"/>
        <v>0</v>
      </c>
      <c r="R52" s="97">
        <f t="shared" si="17"/>
        <v>0</v>
      </c>
      <c r="S52" s="97">
        <f t="shared" si="17"/>
        <v>0</v>
      </c>
      <c r="T52" s="97">
        <f t="shared" si="17"/>
        <v>0</v>
      </c>
      <c r="U52" s="97">
        <f t="shared" si="17"/>
        <v>0</v>
      </c>
      <c r="V52" s="97">
        <f t="shared" si="17"/>
        <v>0</v>
      </c>
      <c r="W52" s="97">
        <f t="shared" si="17"/>
        <v>0</v>
      </c>
      <c r="X52" s="97">
        <f t="shared" si="17"/>
        <v>0</v>
      </c>
      <c r="Y52" s="97">
        <f t="shared" si="17"/>
        <v>0</v>
      </c>
      <c r="Z52" s="97">
        <f t="shared" si="17"/>
        <v>0</v>
      </c>
      <c r="AA52" s="196">
        <f t="shared" si="17"/>
        <v>0</v>
      </c>
      <c r="AB52" s="188">
        <f t="shared" si="18"/>
        <v>0</v>
      </c>
      <c r="AC52" s="97">
        <f t="shared" si="18"/>
        <v>0</v>
      </c>
      <c r="AD52" s="97">
        <f t="shared" si="18"/>
        <v>0</v>
      </c>
      <c r="AE52" s="97">
        <f t="shared" si="18"/>
        <v>0</v>
      </c>
      <c r="AF52" s="97">
        <f t="shared" si="18"/>
        <v>0</v>
      </c>
      <c r="AG52" s="97">
        <f t="shared" si="18"/>
        <v>0</v>
      </c>
      <c r="AH52" s="97">
        <f t="shared" si="18"/>
        <v>0</v>
      </c>
      <c r="AI52" s="97">
        <f t="shared" si="18"/>
        <v>0</v>
      </c>
      <c r="AJ52" s="97">
        <f t="shared" si="18"/>
        <v>0</v>
      </c>
      <c r="AK52" s="97">
        <f t="shared" si="18"/>
        <v>0</v>
      </c>
      <c r="AL52" s="189">
        <f t="shared" si="18"/>
        <v>0</v>
      </c>
      <c r="AM52" s="195">
        <f t="shared" si="19"/>
        <v>0</v>
      </c>
      <c r="AN52" s="97">
        <f t="shared" si="19"/>
        <v>0</v>
      </c>
      <c r="AO52" s="97">
        <f t="shared" si="19"/>
        <v>0</v>
      </c>
      <c r="AP52" s="97">
        <f t="shared" si="19"/>
        <v>0</v>
      </c>
      <c r="AQ52" s="97">
        <f t="shared" si="19"/>
        <v>0</v>
      </c>
      <c r="AR52" s="97">
        <f t="shared" si="19"/>
        <v>0</v>
      </c>
      <c r="AS52" s="97">
        <f t="shared" si="19"/>
        <v>0</v>
      </c>
      <c r="AT52" s="97">
        <f t="shared" si="19"/>
        <v>0</v>
      </c>
      <c r="AU52" s="97">
        <f t="shared" si="19"/>
        <v>0</v>
      </c>
      <c r="AV52" s="97">
        <f t="shared" si="19"/>
        <v>0</v>
      </c>
      <c r="AW52" s="196">
        <f t="shared" si="19"/>
        <v>0</v>
      </c>
      <c r="AX52" s="188">
        <f t="shared" si="20"/>
        <v>0</v>
      </c>
      <c r="AY52" s="97">
        <f t="shared" si="20"/>
        <v>0</v>
      </c>
      <c r="AZ52" s="97">
        <f t="shared" si="20"/>
        <v>0</v>
      </c>
      <c r="BA52" s="97">
        <f t="shared" si="20"/>
        <v>0</v>
      </c>
      <c r="BB52" s="97">
        <f t="shared" si="20"/>
        <v>0</v>
      </c>
      <c r="BC52" s="97">
        <f t="shared" si="20"/>
        <v>0</v>
      </c>
      <c r="BD52" s="97">
        <f t="shared" si="20"/>
        <v>0</v>
      </c>
      <c r="BE52" s="97">
        <f t="shared" si="20"/>
        <v>0</v>
      </c>
      <c r="BF52" s="97">
        <f t="shared" si="20"/>
        <v>0</v>
      </c>
      <c r="BG52" s="97">
        <f t="shared" si="20"/>
        <v>0</v>
      </c>
      <c r="BH52" s="189">
        <f t="shared" si="20"/>
        <v>0</v>
      </c>
      <c r="BI52" s="195">
        <f t="shared" si="21"/>
        <v>0</v>
      </c>
      <c r="BJ52" s="97">
        <f t="shared" si="21"/>
        <v>0</v>
      </c>
      <c r="BK52" s="97">
        <f t="shared" si="21"/>
        <v>0</v>
      </c>
      <c r="BL52" s="97">
        <f t="shared" si="21"/>
        <v>0</v>
      </c>
      <c r="BM52" s="97">
        <f t="shared" si="21"/>
        <v>0</v>
      </c>
      <c r="BN52" s="97">
        <f t="shared" si="21"/>
        <v>0</v>
      </c>
      <c r="BO52" s="97">
        <f t="shared" si="21"/>
        <v>0</v>
      </c>
      <c r="BP52" s="97">
        <f t="shared" si="21"/>
        <v>0</v>
      </c>
      <c r="BQ52" s="97">
        <f t="shared" si="21"/>
        <v>0</v>
      </c>
      <c r="BR52" s="97">
        <f t="shared" si="21"/>
        <v>0</v>
      </c>
      <c r="BS52" s="189">
        <f t="shared" si="21"/>
        <v>0</v>
      </c>
    </row>
    <row r="53" spans="1:71" x14ac:dyDescent="0.2">
      <c r="A53" s="153" t="s">
        <v>77</v>
      </c>
      <c r="B53" s="106">
        <f t="shared" si="22"/>
        <v>0</v>
      </c>
      <c r="C53" s="98">
        <f t="shared" si="23"/>
        <v>0</v>
      </c>
      <c r="D53" s="97">
        <f t="shared" si="24"/>
        <v>0</v>
      </c>
      <c r="E53" s="196">
        <f t="shared" si="25"/>
        <v>0</v>
      </c>
      <c r="F53" s="188">
        <f t="shared" si="16"/>
        <v>0</v>
      </c>
      <c r="G53" s="97">
        <f t="shared" si="16"/>
        <v>0</v>
      </c>
      <c r="H53" s="97">
        <f t="shared" si="16"/>
        <v>0</v>
      </c>
      <c r="I53" s="97">
        <f t="shared" si="16"/>
        <v>0</v>
      </c>
      <c r="J53" s="97">
        <f t="shared" si="16"/>
        <v>0</v>
      </c>
      <c r="K53" s="97">
        <f t="shared" si="16"/>
        <v>0</v>
      </c>
      <c r="L53" s="97">
        <f t="shared" si="16"/>
        <v>0</v>
      </c>
      <c r="M53" s="97">
        <f t="shared" si="16"/>
        <v>0</v>
      </c>
      <c r="N53" s="97">
        <f t="shared" si="16"/>
        <v>0</v>
      </c>
      <c r="O53" s="97">
        <f t="shared" si="16"/>
        <v>0</v>
      </c>
      <c r="P53" s="189">
        <f t="shared" si="16"/>
        <v>0</v>
      </c>
      <c r="Q53" s="195">
        <f t="shared" si="17"/>
        <v>0</v>
      </c>
      <c r="R53" s="97">
        <f t="shared" si="17"/>
        <v>0</v>
      </c>
      <c r="S53" s="97">
        <f t="shared" si="17"/>
        <v>0</v>
      </c>
      <c r="T53" s="97">
        <f t="shared" si="17"/>
        <v>0</v>
      </c>
      <c r="U53" s="97">
        <f t="shared" si="17"/>
        <v>0</v>
      </c>
      <c r="V53" s="97">
        <f t="shared" si="17"/>
        <v>0</v>
      </c>
      <c r="W53" s="97">
        <f t="shared" si="17"/>
        <v>0</v>
      </c>
      <c r="X53" s="97">
        <f t="shared" si="17"/>
        <v>0</v>
      </c>
      <c r="Y53" s="97">
        <f t="shared" si="17"/>
        <v>0</v>
      </c>
      <c r="Z53" s="97">
        <f t="shared" si="17"/>
        <v>0</v>
      </c>
      <c r="AA53" s="196">
        <f t="shared" si="17"/>
        <v>0</v>
      </c>
      <c r="AB53" s="188">
        <f t="shared" si="18"/>
        <v>0</v>
      </c>
      <c r="AC53" s="97">
        <f t="shared" si="18"/>
        <v>0</v>
      </c>
      <c r="AD53" s="97">
        <f t="shared" si="18"/>
        <v>0</v>
      </c>
      <c r="AE53" s="97">
        <f t="shared" si="18"/>
        <v>0</v>
      </c>
      <c r="AF53" s="97">
        <f t="shared" si="18"/>
        <v>0</v>
      </c>
      <c r="AG53" s="97">
        <f t="shared" si="18"/>
        <v>0</v>
      </c>
      <c r="AH53" s="97">
        <f t="shared" si="18"/>
        <v>0</v>
      </c>
      <c r="AI53" s="97">
        <f t="shared" si="18"/>
        <v>0</v>
      </c>
      <c r="AJ53" s="97">
        <f t="shared" si="18"/>
        <v>0</v>
      </c>
      <c r="AK53" s="97">
        <f t="shared" si="18"/>
        <v>0</v>
      </c>
      <c r="AL53" s="189">
        <f t="shared" si="18"/>
        <v>0</v>
      </c>
      <c r="AM53" s="195">
        <f t="shared" si="19"/>
        <v>0</v>
      </c>
      <c r="AN53" s="97">
        <f t="shared" si="19"/>
        <v>0</v>
      </c>
      <c r="AO53" s="97">
        <f t="shared" si="19"/>
        <v>0</v>
      </c>
      <c r="AP53" s="97">
        <f t="shared" si="19"/>
        <v>0</v>
      </c>
      <c r="AQ53" s="97">
        <f t="shared" si="19"/>
        <v>0</v>
      </c>
      <c r="AR53" s="97">
        <f t="shared" si="19"/>
        <v>0</v>
      </c>
      <c r="AS53" s="97">
        <f t="shared" si="19"/>
        <v>0</v>
      </c>
      <c r="AT53" s="97">
        <f t="shared" si="19"/>
        <v>0</v>
      </c>
      <c r="AU53" s="97">
        <f t="shared" si="19"/>
        <v>0</v>
      </c>
      <c r="AV53" s="97">
        <f t="shared" si="19"/>
        <v>0</v>
      </c>
      <c r="AW53" s="196">
        <f t="shared" si="19"/>
        <v>0</v>
      </c>
      <c r="AX53" s="188">
        <f t="shared" si="20"/>
        <v>0</v>
      </c>
      <c r="AY53" s="97">
        <f t="shared" si="20"/>
        <v>0</v>
      </c>
      <c r="AZ53" s="97">
        <f t="shared" si="20"/>
        <v>0</v>
      </c>
      <c r="BA53" s="97">
        <f t="shared" si="20"/>
        <v>0</v>
      </c>
      <c r="BB53" s="97">
        <f t="shared" si="20"/>
        <v>0</v>
      </c>
      <c r="BC53" s="97">
        <f t="shared" si="20"/>
        <v>0</v>
      </c>
      <c r="BD53" s="97">
        <f t="shared" si="20"/>
        <v>0</v>
      </c>
      <c r="BE53" s="97">
        <f t="shared" si="20"/>
        <v>0</v>
      </c>
      <c r="BF53" s="97">
        <f t="shared" si="20"/>
        <v>0</v>
      </c>
      <c r="BG53" s="97">
        <f t="shared" si="20"/>
        <v>0</v>
      </c>
      <c r="BH53" s="189">
        <f t="shared" si="20"/>
        <v>0</v>
      </c>
      <c r="BI53" s="195">
        <f t="shared" si="21"/>
        <v>0</v>
      </c>
      <c r="BJ53" s="97">
        <f t="shared" si="21"/>
        <v>0</v>
      </c>
      <c r="BK53" s="97">
        <f t="shared" si="21"/>
        <v>0</v>
      </c>
      <c r="BL53" s="97">
        <f t="shared" si="21"/>
        <v>0</v>
      </c>
      <c r="BM53" s="97">
        <f t="shared" si="21"/>
        <v>0</v>
      </c>
      <c r="BN53" s="97">
        <f t="shared" si="21"/>
        <v>0</v>
      </c>
      <c r="BO53" s="97">
        <f t="shared" si="21"/>
        <v>0</v>
      </c>
      <c r="BP53" s="97">
        <f t="shared" si="21"/>
        <v>0</v>
      </c>
      <c r="BQ53" s="97">
        <f t="shared" si="21"/>
        <v>0</v>
      </c>
      <c r="BR53" s="97">
        <f t="shared" si="21"/>
        <v>0</v>
      </c>
      <c r="BS53" s="189">
        <f t="shared" si="21"/>
        <v>0</v>
      </c>
    </row>
    <row r="54" spans="1:71" x14ac:dyDescent="0.2">
      <c r="A54" s="153" t="s">
        <v>78</v>
      </c>
      <c r="B54" s="106">
        <f t="shared" si="22"/>
        <v>0</v>
      </c>
      <c r="C54" s="98">
        <f t="shared" si="23"/>
        <v>0</v>
      </c>
      <c r="D54" s="97">
        <f t="shared" si="24"/>
        <v>0</v>
      </c>
      <c r="E54" s="196">
        <f t="shared" si="25"/>
        <v>0</v>
      </c>
      <c r="F54" s="188">
        <f t="shared" si="16"/>
        <v>0</v>
      </c>
      <c r="G54" s="97">
        <f t="shared" si="16"/>
        <v>0</v>
      </c>
      <c r="H54" s="97">
        <f t="shared" si="16"/>
        <v>0</v>
      </c>
      <c r="I54" s="97">
        <f t="shared" si="16"/>
        <v>0</v>
      </c>
      <c r="J54" s="97">
        <f t="shared" si="16"/>
        <v>0</v>
      </c>
      <c r="K54" s="97">
        <f t="shared" si="16"/>
        <v>0</v>
      </c>
      <c r="L54" s="97">
        <f t="shared" si="16"/>
        <v>0</v>
      </c>
      <c r="M54" s="97">
        <f t="shared" si="16"/>
        <v>0</v>
      </c>
      <c r="N54" s="97">
        <f t="shared" si="16"/>
        <v>0</v>
      </c>
      <c r="O54" s="97">
        <f t="shared" si="16"/>
        <v>0</v>
      </c>
      <c r="P54" s="189">
        <f t="shared" si="16"/>
        <v>0</v>
      </c>
      <c r="Q54" s="195">
        <f t="shared" si="17"/>
        <v>0</v>
      </c>
      <c r="R54" s="97">
        <f t="shared" si="17"/>
        <v>0</v>
      </c>
      <c r="S54" s="97">
        <f t="shared" si="17"/>
        <v>0</v>
      </c>
      <c r="T54" s="97">
        <f t="shared" si="17"/>
        <v>0</v>
      </c>
      <c r="U54" s="97">
        <f t="shared" si="17"/>
        <v>0</v>
      </c>
      <c r="V54" s="97">
        <f t="shared" si="17"/>
        <v>0</v>
      </c>
      <c r="W54" s="97">
        <f t="shared" si="17"/>
        <v>0</v>
      </c>
      <c r="X54" s="97">
        <f t="shared" si="17"/>
        <v>0</v>
      </c>
      <c r="Y54" s="97">
        <f t="shared" si="17"/>
        <v>0</v>
      </c>
      <c r="Z54" s="97">
        <f t="shared" si="17"/>
        <v>0</v>
      </c>
      <c r="AA54" s="196">
        <f t="shared" si="17"/>
        <v>0</v>
      </c>
      <c r="AB54" s="188">
        <f t="shared" si="18"/>
        <v>0</v>
      </c>
      <c r="AC54" s="97">
        <f t="shared" si="18"/>
        <v>0</v>
      </c>
      <c r="AD54" s="97">
        <f t="shared" si="18"/>
        <v>0</v>
      </c>
      <c r="AE54" s="97">
        <f t="shared" si="18"/>
        <v>0</v>
      </c>
      <c r="AF54" s="97">
        <f t="shared" si="18"/>
        <v>0</v>
      </c>
      <c r="AG54" s="97">
        <f t="shared" si="18"/>
        <v>0</v>
      </c>
      <c r="AH54" s="97">
        <f t="shared" si="18"/>
        <v>0</v>
      </c>
      <c r="AI54" s="97">
        <f t="shared" si="18"/>
        <v>0</v>
      </c>
      <c r="AJ54" s="97">
        <f t="shared" si="18"/>
        <v>0</v>
      </c>
      <c r="AK54" s="97">
        <f t="shared" si="18"/>
        <v>0</v>
      </c>
      <c r="AL54" s="189">
        <f t="shared" si="18"/>
        <v>0</v>
      </c>
      <c r="AM54" s="195">
        <f t="shared" si="19"/>
        <v>0</v>
      </c>
      <c r="AN54" s="97">
        <f t="shared" si="19"/>
        <v>0</v>
      </c>
      <c r="AO54" s="97">
        <f t="shared" si="19"/>
        <v>0</v>
      </c>
      <c r="AP54" s="97">
        <f t="shared" si="19"/>
        <v>0</v>
      </c>
      <c r="AQ54" s="97">
        <f t="shared" si="19"/>
        <v>0</v>
      </c>
      <c r="AR54" s="97">
        <f t="shared" si="19"/>
        <v>0</v>
      </c>
      <c r="AS54" s="97">
        <f t="shared" si="19"/>
        <v>0</v>
      </c>
      <c r="AT54" s="97">
        <f t="shared" si="19"/>
        <v>0</v>
      </c>
      <c r="AU54" s="97">
        <f t="shared" si="19"/>
        <v>0</v>
      </c>
      <c r="AV54" s="97">
        <f t="shared" si="19"/>
        <v>0</v>
      </c>
      <c r="AW54" s="196">
        <f t="shared" si="19"/>
        <v>0</v>
      </c>
      <c r="AX54" s="188">
        <f t="shared" si="20"/>
        <v>0</v>
      </c>
      <c r="AY54" s="97">
        <f t="shared" si="20"/>
        <v>0</v>
      </c>
      <c r="AZ54" s="97">
        <f t="shared" si="20"/>
        <v>0</v>
      </c>
      <c r="BA54" s="97">
        <f t="shared" si="20"/>
        <v>0</v>
      </c>
      <c r="BB54" s="97">
        <f t="shared" si="20"/>
        <v>0</v>
      </c>
      <c r="BC54" s="97">
        <f t="shared" si="20"/>
        <v>0</v>
      </c>
      <c r="BD54" s="97">
        <f t="shared" si="20"/>
        <v>0</v>
      </c>
      <c r="BE54" s="97">
        <f t="shared" si="20"/>
        <v>0</v>
      </c>
      <c r="BF54" s="97">
        <f t="shared" si="20"/>
        <v>0</v>
      </c>
      <c r="BG54" s="97">
        <f t="shared" si="20"/>
        <v>0</v>
      </c>
      <c r="BH54" s="189">
        <f t="shared" si="20"/>
        <v>0</v>
      </c>
      <c r="BI54" s="195">
        <f t="shared" si="21"/>
        <v>0</v>
      </c>
      <c r="BJ54" s="97">
        <f t="shared" si="21"/>
        <v>0</v>
      </c>
      <c r="BK54" s="97">
        <f t="shared" si="21"/>
        <v>0</v>
      </c>
      <c r="BL54" s="97">
        <f t="shared" si="21"/>
        <v>0</v>
      </c>
      <c r="BM54" s="97">
        <f t="shared" si="21"/>
        <v>0</v>
      </c>
      <c r="BN54" s="97">
        <f t="shared" si="21"/>
        <v>0</v>
      </c>
      <c r="BO54" s="97">
        <f t="shared" si="21"/>
        <v>0</v>
      </c>
      <c r="BP54" s="97">
        <f t="shared" si="21"/>
        <v>0</v>
      </c>
      <c r="BQ54" s="97">
        <f t="shared" si="21"/>
        <v>0</v>
      </c>
      <c r="BR54" s="97">
        <f t="shared" si="21"/>
        <v>0</v>
      </c>
      <c r="BS54" s="189">
        <f t="shared" si="21"/>
        <v>0</v>
      </c>
    </row>
    <row r="55" spans="1:71" x14ac:dyDescent="0.2">
      <c r="A55" s="153" t="s">
        <v>79</v>
      </c>
      <c r="B55" s="106">
        <f t="shared" si="22"/>
        <v>0</v>
      </c>
      <c r="C55" s="98">
        <f t="shared" si="23"/>
        <v>0</v>
      </c>
      <c r="D55" s="97">
        <f t="shared" si="24"/>
        <v>0</v>
      </c>
      <c r="E55" s="196">
        <f t="shared" si="25"/>
        <v>0</v>
      </c>
      <c r="F55" s="188">
        <f t="shared" si="16"/>
        <v>0</v>
      </c>
      <c r="G55" s="97">
        <f t="shared" si="16"/>
        <v>0</v>
      </c>
      <c r="H55" s="97">
        <f t="shared" si="16"/>
        <v>0</v>
      </c>
      <c r="I55" s="97">
        <f t="shared" si="16"/>
        <v>0</v>
      </c>
      <c r="J55" s="97">
        <f t="shared" si="16"/>
        <v>0</v>
      </c>
      <c r="K55" s="97">
        <f t="shared" si="16"/>
        <v>0</v>
      </c>
      <c r="L55" s="97">
        <f t="shared" si="16"/>
        <v>0</v>
      </c>
      <c r="M55" s="97">
        <f t="shared" si="16"/>
        <v>0</v>
      </c>
      <c r="N55" s="97">
        <f t="shared" si="16"/>
        <v>0</v>
      </c>
      <c r="O55" s="97">
        <f t="shared" si="16"/>
        <v>0</v>
      </c>
      <c r="P55" s="189">
        <f t="shared" si="16"/>
        <v>0</v>
      </c>
      <c r="Q55" s="195">
        <f t="shared" si="17"/>
        <v>0</v>
      </c>
      <c r="R55" s="97">
        <f t="shared" si="17"/>
        <v>0</v>
      </c>
      <c r="S55" s="97">
        <f t="shared" si="17"/>
        <v>0</v>
      </c>
      <c r="T55" s="97">
        <f t="shared" si="17"/>
        <v>0</v>
      </c>
      <c r="U55" s="97">
        <f t="shared" si="17"/>
        <v>0</v>
      </c>
      <c r="V55" s="97">
        <f t="shared" si="17"/>
        <v>0</v>
      </c>
      <c r="W55" s="97">
        <f t="shared" si="17"/>
        <v>0</v>
      </c>
      <c r="X55" s="97">
        <f t="shared" si="17"/>
        <v>0</v>
      </c>
      <c r="Y55" s="97">
        <f t="shared" si="17"/>
        <v>0</v>
      </c>
      <c r="Z55" s="97">
        <f t="shared" si="17"/>
        <v>0</v>
      </c>
      <c r="AA55" s="196">
        <f t="shared" si="17"/>
        <v>0</v>
      </c>
      <c r="AB55" s="188">
        <f t="shared" si="18"/>
        <v>0</v>
      </c>
      <c r="AC55" s="97">
        <f t="shared" si="18"/>
        <v>0</v>
      </c>
      <c r="AD55" s="97">
        <f t="shared" si="18"/>
        <v>0</v>
      </c>
      <c r="AE55" s="97">
        <f t="shared" si="18"/>
        <v>0</v>
      </c>
      <c r="AF55" s="97">
        <f t="shared" si="18"/>
        <v>0</v>
      </c>
      <c r="AG55" s="97">
        <f t="shared" si="18"/>
        <v>0</v>
      </c>
      <c r="AH55" s="97">
        <f t="shared" si="18"/>
        <v>0</v>
      </c>
      <c r="AI55" s="97">
        <f t="shared" si="18"/>
        <v>0</v>
      </c>
      <c r="AJ55" s="97">
        <f t="shared" si="18"/>
        <v>0</v>
      </c>
      <c r="AK55" s="97">
        <f t="shared" si="18"/>
        <v>0</v>
      </c>
      <c r="AL55" s="189">
        <f t="shared" si="18"/>
        <v>0</v>
      </c>
      <c r="AM55" s="195">
        <f t="shared" si="19"/>
        <v>0</v>
      </c>
      <c r="AN55" s="97">
        <f t="shared" si="19"/>
        <v>0</v>
      </c>
      <c r="AO55" s="97">
        <f t="shared" si="19"/>
        <v>0</v>
      </c>
      <c r="AP55" s="97">
        <f t="shared" si="19"/>
        <v>0</v>
      </c>
      <c r="AQ55" s="97">
        <f t="shared" si="19"/>
        <v>0</v>
      </c>
      <c r="AR55" s="97">
        <f t="shared" si="19"/>
        <v>0</v>
      </c>
      <c r="AS55" s="97">
        <f t="shared" si="19"/>
        <v>0</v>
      </c>
      <c r="AT55" s="97">
        <f t="shared" si="19"/>
        <v>0</v>
      </c>
      <c r="AU55" s="97">
        <f t="shared" si="19"/>
        <v>0</v>
      </c>
      <c r="AV55" s="97">
        <f t="shared" si="19"/>
        <v>0</v>
      </c>
      <c r="AW55" s="196">
        <f t="shared" si="19"/>
        <v>0</v>
      </c>
      <c r="AX55" s="188">
        <f t="shared" si="20"/>
        <v>0</v>
      </c>
      <c r="AY55" s="97">
        <f t="shared" si="20"/>
        <v>0</v>
      </c>
      <c r="AZ55" s="97">
        <f t="shared" si="20"/>
        <v>0</v>
      </c>
      <c r="BA55" s="97">
        <f t="shared" si="20"/>
        <v>0</v>
      </c>
      <c r="BB55" s="97">
        <f t="shared" si="20"/>
        <v>0</v>
      </c>
      <c r="BC55" s="97">
        <f t="shared" si="20"/>
        <v>0</v>
      </c>
      <c r="BD55" s="97">
        <f t="shared" si="20"/>
        <v>0</v>
      </c>
      <c r="BE55" s="97">
        <f t="shared" si="20"/>
        <v>0</v>
      </c>
      <c r="BF55" s="97">
        <f t="shared" si="20"/>
        <v>0</v>
      </c>
      <c r="BG55" s="97">
        <f t="shared" si="20"/>
        <v>0</v>
      </c>
      <c r="BH55" s="189">
        <f t="shared" si="20"/>
        <v>0</v>
      </c>
      <c r="BI55" s="195">
        <f t="shared" si="21"/>
        <v>0</v>
      </c>
      <c r="BJ55" s="97">
        <f t="shared" si="21"/>
        <v>0</v>
      </c>
      <c r="BK55" s="97">
        <f t="shared" si="21"/>
        <v>0</v>
      </c>
      <c r="BL55" s="97">
        <f t="shared" si="21"/>
        <v>0</v>
      </c>
      <c r="BM55" s="97">
        <f t="shared" si="21"/>
        <v>0</v>
      </c>
      <c r="BN55" s="97">
        <f t="shared" si="21"/>
        <v>0</v>
      </c>
      <c r="BO55" s="97">
        <f t="shared" si="21"/>
        <v>0</v>
      </c>
      <c r="BP55" s="97">
        <f t="shared" si="21"/>
        <v>0</v>
      </c>
      <c r="BQ55" s="97">
        <f t="shared" si="21"/>
        <v>0</v>
      </c>
      <c r="BR55" s="97">
        <f t="shared" si="21"/>
        <v>0</v>
      </c>
      <c r="BS55" s="189">
        <f t="shared" si="21"/>
        <v>0</v>
      </c>
    </row>
    <row r="56" spans="1:71" x14ac:dyDescent="0.2">
      <c r="A56" s="153" t="s">
        <v>80</v>
      </c>
      <c r="B56" s="106">
        <f t="shared" si="22"/>
        <v>0</v>
      </c>
      <c r="C56" s="98">
        <f t="shared" si="23"/>
        <v>0</v>
      </c>
      <c r="D56" s="97">
        <f t="shared" si="24"/>
        <v>0</v>
      </c>
      <c r="E56" s="196">
        <f t="shared" si="25"/>
        <v>0</v>
      </c>
      <c r="F56" s="188">
        <f t="shared" si="16"/>
        <v>0</v>
      </c>
      <c r="G56" s="97">
        <f t="shared" si="16"/>
        <v>0</v>
      </c>
      <c r="H56" s="97">
        <f t="shared" si="16"/>
        <v>0</v>
      </c>
      <c r="I56" s="97">
        <f t="shared" si="16"/>
        <v>0</v>
      </c>
      <c r="J56" s="97">
        <f t="shared" si="16"/>
        <v>0</v>
      </c>
      <c r="K56" s="97">
        <f t="shared" si="16"/>
        <v>0</v>
      </c>
      <c r="L56" s="97">
        <f t="shared" si="16"/>
        <v>0</v>
      </c>
      <c r="M56" s="97">
        <f t="shared" si="16"/>
        <v>0</v>
      </c>
      <c r="N56" s="97">
        <f t="shared" si="16"/>
        <v>0</v>
      </c>
      <c r="O56" s="97">
        <f t="shared" si="16"/>
        <v>0</v>
      </c>
      <c r="P56" s="189">
        <f t="shared" si="16"/>
        <v>0</v>
      </c>
      <c r="Q56" s="195">
        <f t="shared" si="17"/>
        <v>0</v>
      </c>
      <c r="R56" s="97">
        <f>IF(($B56-R$48)&gt;=0,$C56*($B56-R$48),0)</f>
        <v>0</v>
      </c>
      <c r="S56" s="97">
        <f t="shared" si="17"/>
        <v>0</v>
      </c>
      <c r="T56" s="97">
        <f t="shared" si="17"/>
        <v>0</v>
      </c>
      <c r="U56" s="97">
        <f t="shared" si="17"/>
        <v>0</v>
      </c>
      <c r="V56" s="97">
        <f t="shared" si="17"/>
        <v>0</v>
      </c>
      <c r="W56" s="97">
        <f t="shared" si="17"/>
        <v>0</v>
      </c>
      <c r="X56" s="97">
        <f t="shared" si="17"/>
        <v>0</v>
      </c>
      <c r="Y56" s="97">
        <f t="shared" si="17"/>
        <v>0</v>
      </c>
      <c r="Z56" s="97">
        <f t="shared" si="17"/>
        <v>0</v>
      </c>
      <c r="AA56" s="196">
        <f t="shared" si="17"/>
        <v>0</v>
      </c>
      <c r="AB56" s="188">
        <f t="shared" si="18"/>
        <v>0</v>
      </c>
      <c r="AC56" s="97">
        <f t="shared" si="18"/>
        <v>0</v>
      </c>
      <c r="AD56" s="97">
        <f t="shared" si="18"/>
        <v>0</v>
      </c>
      <c r="AE56" s="97">
        <f t="shared" si="18"/>
        <v>0</v>
      </c>
      <c r="AF56" s="97">
        <f t="shared" si="18"/>
        <v>0</v>
      </c>
      <c r="AG56" s="97">
        <f t="shared" si="18"/>
        <v>0</v>
      </c>
      <c r="AH56" s="97">
        <f t="shared" si="18"/>
        <v>0</v>
      </c>
      <c r="AI56" s="97">
        <f t="shared" si="18"/>
        <v>0</v>
      </c>
      <c r="AJ56" s="97">
        <f t="shared" si="18"/>
        <v>0</v>
      </c>
      <c r="AK56" s="97">
        <f t="shared" si="18"/>
        <v>0</v>
      </c>
      <c r="AL56" s="189">
        <f t="shared" si="18"/>
        <v>0</v>
      </c>
      <c r="AM56" s="195">
        <f t="shared" si="19"/>
        <v>0</v>
      </c>
      <c r="AN56" s="97">
        <f t="shared" si="19"/>
        <v>0</v>
      </c>
      <c r="AO56" s="97">
        <f t="shared" si="19"/>
        <v>0</v>
      </c>
      <c r="AP56" s="97">
        <f t="shared" si="19"/>
        <v>0</v>
      </c>
      <c r="AQ56" s="97">
        <f t="shared" si="19"/>
        <v>0</v>
      </c>
      <c r="AR56" s="97">
        <f t="shared" si="19"/>
        <v>0</v>
      </c>
      <c r="AS56" s="97">
        <f t="shared" si="19"/>
        <v>0</v>
      </c>
      <c r="AT56" s="97">
        <f t="shared" si="19"/>
        <v>0</v>
      </c>
      <c r="AU56" s="97">
        <f t="shared" si="19"/>
        <v>0</v>
      </c>
      <c r="AV56" s="97">
        <f t="shared" si="19"/>
        <v>0</v>
      </c>
      <c r="AW56" s="196">
        <f t="shared" si="19"/>
        <v>0</v>
      </c>
      <c r="AX56" s="188">
        <f t="shared" si="20"/>
        <v>0</v>
      </c>
      <c r="AY56" s="97">
        <f t="shared" si="20"/>
        <v>0</v>
      </c>
      <c r="AZ56" s="97">
        <f t="shared" si="20"/>
        <v>0</v>
      </c>
      <c r="BA56" s="97">
        <f t="shared" si="20"/>
        <v>0</v>
      </c>
      <c r="BB56" s="97">
        <f t="shared" si="20"/>
        <v>0</v>
      </c>
      <c r="BC56" s="97">
        <f t="shared" si="20"/>
        <v>0</v>
      </c>
      <c r="BD56" s="97">
        <f t="shared" si="20"/>
        <v>0</v>
      </c>
      <c r="BE56" s="97">
        <f t="shared" si="20"/>
        <v>0</v>
      </c>
      <c r="BF56" s="97">
        <f t="shared" si="20"/>
        <v>0</v>
      </c>
      <c r="BG56" s="97">
        <f t="shared" si="20"/>
        <v>0</v>
      </c>
      <c r="BH56" s="189">
        <f t="shared" si="20"/>
        <v>0</v>
      </c>
      <c r="BI56" s="195">
        <f t="shared" si="21"/>
        <v>0</v>
      </c>
      <c r="BJ56" s="97">
        <f t="shared" si="21"/>
        <v>0</v>
      </c>
      <c r="BK56" s="97">
        <f t="shared" si="21"/>
        <v>0</v>
      </c>
      <c r="BL56" s="97">
        <f t="shared" si="21"/>
        <v>0</v>
      </c>
      <c r="BM56" s="97">
        <f t="shared" si="21"/>
        <v>0</v>
      </c>
      <c r="BN56" s="97">
        <f t="shared" si="21"/>
        <v>0</v>
      </c>
      <c r="BO56" s="97">
        <f t="shared" si="21"/>
        <v>0</v>
      </c>
      <c r="BP56" s="97">
        <f t="shared" si="21"/>
        <v>0</v>
      </c>
      <c r="BQ56" s="97">
        <f t="shared" si="21"/>
        <v>0</v>
      </c>
      <c r="BR56" s="97">
        <f t="shared" si="21"/>
        <v>0</v>
      </c>
      <c r="BS56" s="189">
        <f t="shared" si="21"/>
        <v>0</v>
      </c>
    </row>
    <row r="57" spans="1:71" x14ac:dyDescent="0.2">
      <c r="A57" s="153" t="s">
        <v>81</v>
      </c>
      <c r="B57" s="106">
        <f t="shared" si="22"/>
        <v>0</v>
      </c>
      <c r="C57" s="98">
        <f t="shared" si="23"/>
        <v>0</v>
      </c>
      <c r="D57" s="97">
        <f t="shared" si="24"/>
        <v>0</v>
      </c>
      <c r="E57" s="196">
        <f t="shared" si="25"/>
        <v>0</v>
      </c>
      <c r="F57" s="188">
        <f t="shared" si="16"/>
        <v>0</v>
      </c>
      <c r="G57" s="97">
        <f t="shared" si="16"/>
        <v>0</v>
      </c>
      <c r="H57" s="97">
        <f t="shared" si="16"/>
        <v>0</v>
      </c>
      <c r="I57" s="97">
        <f t="shared" si="16"/>
        <v>0</v>
      </c>
      <c r="J57" s="97">
        <f t="shared" si="16"/>
        <v>0</v>
      </c>
      <c r="K57" s="97">
        <f t="shared" si="16"/>
        <v>0</v>
      </c>
      <c r="L57" s="97">
        <f t="shared" si="16"/>
        <v>0</v>
      </c>
      <c r="M57" s="97">
        <f t="shared" si="16"/>
        <v>0</v>
      </c>
      <c r="N57" s="97">
        <f t="shared" si="16"/>
        <v>0</v>
      </c>
      <c r="O57" s="97">
        <f t="shared" si="16"/>
        <v>0</v>
      </c>
      <c r="P57" s="189">
        <f t="shared" si="16"/>
        <v>0</v>
      </c>
      <c r="Q57" s="195">
        <f t="shared" si="17"/>
        <v>0</v>
      </c>
      <c r="R57" s="97">
        <f t="shared" si="17"/>
        <v>0</v>
      </c>
      <c r="S57" s="97">
        <f t="shared" si="17"/>
        <v>0</v>
      </c>
      <c r="T57" s="97">
        <f t="shared" si="17"/>
        <v>0</v>
      </c>
      <c r="U57" s="97">
        <f t="shared" si="17"/>
        <v>0</v>
      </c>
      <c r="V57" s="97">
        <f t="shared" si="17"/>
        <v>0</v>
      </c>
      <c r="W57" s="97">
        <f t="shared" si="17"/>
        <v>0</v>
      </c>
      <c r="X57" s="97">
        <f t="shared" si="17"/>
        <v>0</v>
      </c>
      <c r="Y57" s="97">
        <f t="shared" si="17"/>
        <v>0</v>
      </c>
      <c r="Z57" s="97">
        <f t="shared" si="17"/>
        <v>0</v>
      </c>
      <c r="AA57" s="196">
        <f t="shared" si="17"/>
        <v>0</v>
      </c>
      <c r="AB57" s="188">
        <f t="shared" si="18"/>
        <v>0</v>
      </c>
      <c r="AC57" s="97">
        <f t="shared" si="18"/>
        <v>0</v>
      </c>
      <c r="AD57" s="97">
        <f t="shared" si="18"/>
        <v>0</v>
      </c>
      <c r="AE57" s="97">
        <f t="shared" si="18"/>
        <v>0</v>
      </c>
      <c r="AF57" s="97">
        <f t="shared" si="18"/>
        <v>0</v>
      </c>
      <c r="AG57" s="97">
        <f t="shared" si="18"/>
        <v>0</v>
      </c>
      <c r="AH57" s="97">
        <f t="shared" si="18"/>
        <v>0</v>
      </c>
      <c r="AI57" s="97">
        <f t="shared" si="18"/>
        <v>0</v>
      </c>
      <c r="AJ57" s="97">
        <f t="shared" si="18"/>
        <v>0</v>
      </c>
      <c r="AK57" s="97">
        <f t="shared" si="18"/>
        <v>0</v>
      </c>
      <c r="AL57" s="189">
        <f t="shared" si="18"/>
        <v>0</v>
      </c>
      <c r="AM57" s="195">
        <f t="shared" si="19"/>
        <v>0</v>
      </c>
      <c r="AN57" s="97">
        <f t="shared" si="19"/>
        <v>0</v>
      </c>
      <c r="AO57" s="97">
        <f t="shared" si="19"/>
        <v>0</v>
      </c>
      <c r="AP57" s="97">
        <f t="shared" si="19"/>
        <v>0</v>
      </c>
      <c r="AQ57" s="97">
        <f t="shared" si="19"/>
        <v>0</v>
      </c>
      <c r="AR57" s="97">
        <f t="shared" si="19"/>
        <v>0</v>
      </c>
      <c r="AS57" s="97">
        <f t="shared" si="19"/>
        <v>0</v>
      </c>
      <c r="AT57" s="97">
        <f t="shared" si="19"/>
        <v>0</v>
      </c>
      <c r="AU57" s="97">
        <f t="shared" si="19"/>
        <v>0</v>
      </c>
      <c r="AV57" s="97">
        <f t="shared" si="19"/>
        <v>0</v>
      </c>
      <c r="AW57" s="196">
        <f t="shared" si="19"/>
        <v>0</v>
      </c>
      <c r="AX57" s="188">
        <f t="shared" si="20"/>
        <v>0</v>
      </c>
      <c r="AY57" s="97">
        <f t="shared" si="20"/>
        <v>0</v>
      </c>
      <c r="AZ57" s="97">
        <f t="shared" si="20"/>
        <v>0</v>
      </c>
      <c r="BA57" s="97">
        <f t="shared" si="20"/>
        <v>0</v>
      </c>
      <c r="BB57" s="97">
        <f t="shared" si="20"/>
        <v>0</v>
      </c>
      <c r="BC57" s="97">
        <f t="shared" si="20"/>
        <v>0</v>
      </c>
      <c r="BD57" s="97">
        <f t="shared" si="20"/>
        <v>0</v>
      </c>
      <c r="BE57" s="97">
        <f t="shared" si="20"/>
        <v>0</v>
      </c>
      <c r="BF57" s="97">
        <f t="shared" si="20"/>
        <v>0</v>
      </c>
      <c r="BG57" s="97">
        <f t="shared" si="20"/>
        <v>0</v>
      </c>
      <c r="BH57" s="189">
        <f t="shared" si="20"/>
        <v>0</v>
      </c>
      <c r="BI57" s="195">
        <f t="shared" si="21"/>
        <v>0</v>
      </c>
      <c r="BJ57" s="97">
        <f t="shared" si="21"/>
        <v>0</v>
      </c>
      <c r="BK57" s="97">
        <f t="shared" si="21"/>
        <v>0</v>
      </c>
      <c r="BL57" s="97">
        <f t="shared" si="21"/>
        <v>0</v>
      </c>
      <c r="BM57" s="97">
        <f t="shared" si="21"/>
        <v>0</v>
      </c>
      <c r="BN57" s="97">
        <f t="shared" si="21"/>
        <v>0</v>
      </c>
      <c r="BO57" s="97">
        <f t="shared" si="21"/>
        <v>0</v>
      </c>
      <c r="BP57" s="97">
        <f t="shared" si="21"/>
        <v>0</v>
      </c>
      <c r="BQ57" s="97">
        <f t="shared" si="21"/>
        <v>0</v>
      </c>
      <c r="BR57" s="97">
        <f t="shared" si="21"/>
        <v>0</v>
      </c>
      <c r="BS57" s="189">
        <f t="shared" si="21"/>
        <v>0</v>
      </c>
    </row>
    <row r="58" spans="1:71" x14ac:dyDescent="0.2">
      <c r="A58" s="153" t="s">
        <v>82</v>
      </c>
      <c r="B58" s="106">
        <f t="shared" si="22"/>
        <v>0</v>
      </c>
      <c r="C58" s="98">
        <f t="shared" si="23"/>
        <v>0</v>
      </c>
      <c r="D58" s="97">
        <f t="shared" si="24"/>
        <v>0</v>
      </c>
      <c r="E58" s="196">
        <f t="shared" si="25"/>
        <v>0</v>
      </c>
      <c r="F58" s="188">
        <f t="shared" si="16"/>
        <v>0</v>
      </c>
      <c r="G58" s="97">
        <f t="shared" si="16"/>
        <v>0</v>
      </c>
      <c r="H58" s="97">
        <f t="shared" si="16"/>
        <v>0</v>
      </c>
      <c r="I58" s="97">
        <f t="shared" si="16"/>
        <v>0</v>
      </c>
      <c r="J58" s="97">
        <f t="shared" si="16"/>
        <v>0</v>
      </c>
      <c r="K58" s="97">
        <f t="shared" si="16"/>
        <v>0</v>
      </c>
      <c r="L58" s="97">
        <f t="shared" si="16"/>
        <v>0</v>
      </c>
      <c r="M58" s="97">
        <f t="shared" si="16"/>
        <v>0</v>
      </c>
      <c r="N58" s="97">
        <f t="shared" si="16"/>
        <v>0</v>
      </c>
      <c r="O58" s="97">
        <f t="shared" si="16"/>
        <v>0</v>
      </c>
      <c r="P58" s="189">
        <f t="shared" si="16"/>
        <v>0</v>
      </c>
      <c r="Q58" s="195">
        <f t="shared" si="17"/>
        <v>0</v>
      </c>
      <c r="R58" s="97">
        <f t="shared" si="17"/>
        <v>0</v>
      </c>
      <c r="S58" s="97">
        <f t="shared" si="17"/>
        <v>0</v>
      </c>
      <c r="T58" s="97">
        <f t="shared" si="17"/>
        <v>0</v>
      </c>
      <c r="U58" s="97">
        <f t="shared" si="17"/>
        <v>0</v>
      </c>
      <c r="V58" s="97">
        <f t="shared" si="17"/>
        <v>0</v>
      </c>
      <c r="W58" s="97">
        <f t="shared" si="17"/>
        <v>0</v>
      </c>
      <c r="X58" s="97">
        <f t="shared" si="17"/>
        <v>0</v>
      </c>
      <c r="Y58" s="97">
        <f t="shared" si="17"/>
        <v>0</v>
      </c>
      <c r="Z58" s="97">
        <f t="shared" si="17"/>
        <v>0</v>
      </c>
      <c r="AA58" s="196">
        <f t="shared" si="17"/>
        <v>0</v>
      </c>
      <c r="AB58" s="188">
        <f t="shared" si="18"/>
        <v>0</v>
      </c>
      <c r="AC58" s="97">
        <f t="shared" si="18"/>
        <v>0</v>
      </c>
      <c r="AD58" s="97">
        <f t="shared" si="18"/>
        <v>0</v>
      </c>
      <c r="AE58" s="97">
        <f t="shared" si="18"/>
        <v>0</v>
      </c>
      <c r="AF58" s="97">
        <f t="shared" si="18"/>
        <v>0</v>
      </c>
      <c r="AG58" s="97">
        <f t="shared" si="18"/>
        <v>0</v>
      </c>
      <c r="AH58" s="97">
        <f t="shared" si="18"/>
        <v>0</v>
      </c>
      <c r="AI58" s="97">
        <f t="shared" si="18"/>
        <v>0</v>
      </c>
      <c r="AJ58" s="97">
        <f t="shared" si="18"/>
        <v>0</v>
      </c>
      <c r="AK58" s="97">
        <f t="shared" si="18"/>
        <v>0</v>
      </c>
      <c r="AL58" s="189">
        <f t="shared" si="18"/>
        <v>0</v>
      </c>
      <c r="AM58" s="195">
        <f t="shared" si="19"/>
        <v>0</v>
      </c>
      <c r="AN58" s="97">
        <f t="shared" si="19"/>
        <v>0</v>
      </c>
      <c r="AO58" s="97">
        <f t="shared" si="19"/>
        <v>0</v>
      </c>
      <c r="AP58" s="97">
        <f t="shared" si="19"/>
        <v>0</v>
      </c>
      <c r="AQ58" s="97">
        <f t="shared" si="19"/>
        <v>0</v>
      </c>
      <c r="AR58" s="97">
        <f t="shared" si="19"/>
        <v>0</v>
      </c>
      <c r="AS58" s="97">
        <f t="shared" si="19"/>
        <v>0</v>
      </c>
      <c r="AT58" s="97">
        <f t="shared" si="19"/>
        <v>0</v>
      </c>
      <c r="AU58" s="97">
        <f t="shared" si="19"/>
        <v>0</v>
      </c>
      <c r="AV58" s="97">
        <f t="shared" si="19"/>
        <v>0</v>
      </c>
      <c r="AW58" s="196">
        <f t="shared" si="19"/>
        <v>0</v>
      </c>
      <c r="AX58" s="188">
        <f t="shared" si="20"/>
        <v>0</v>
      </c>
      <c r="AY58" s="97">
        <f t="shared" si="20"/>
        <v>0</v>
      </c>
      <c r="AZ58" s="97">
        <f t="shared" si="20"/>
        <v>0</v>
      </c>
      <c r="BA58" s="97">
        <f t="shared" si="20"/>
        <v>0</v>
      </c>
      <c r="BB58" s="97">
        <f t="shared" si="20"/>
        <v>0</v>
      </c>
      <c r="BC58" s="97">
        <f t="shared" si="20"/>
        <v>0</v>
      </c>
      <c r="BD58" s="97">
        <f t="shared" si="20"/>
        <v>0</v>
      </c>
      <c r="BE58" s="97">
        <f t="shared" si="20"/>
        <v>0</v>
      </c>
      <c r="BF58" s="97">
        <f t="shared" si="20"/>
        <v>0</v>
      </c>
      <c r="BG58" s="97">
        <f t="shared" si="20"/>
        <v>0</v>
      </c>
      <c r="BH58" s="189">
        <f t="shared" si="20"/>
        <v>0</v>
      </c>
      <c r="BI58" s="195">
        <f t="shared" si="21"/>
        <v>0</v>
      </c>
      <c r="BJ58" s="97">
        <f t="shared" si="21"/>
        <v>0</v>
      </c>
      <c r="BK58" s="97">
        <f t="shared" si="21"/>
        <v>0</v>
      </c>
      <c r="BL58" s="97">
        <f t="shared" si="21"/>
        <v>0</v>
      </c>
      <c r="BM58" s="97">
        <f t="shared" si="21"/>
        <v>0</v>
      </c>
      <c r="BN58" s="97">
        <f t="shared" si="21"/>
        <v>0</v>
      </c>
      <c r="BO58" s="97">
        <f t="shared" si="21"/>
        <v>0</v>
      </c>
      <c r="BP58" s="97">
        <f t="shared" si="21"/>
        <v>0</v>
      </c>
      <c r="BQ58" s="97">
        <f t="shared" si="21"/>
        <v>0</v>
      </c>
      <c r="BR58" s="97">
        <f t="shared" si="21"/>
        <v>0</v>
      </c>
      <c r="BS58" s="189">
        <f t="shared" si="21"/>
        <v>0</v>
      </c>
    </row>
    <row r="59" spans="1:71" x14ac:dyDescent="0.2">
      <c r="A59" s="153" t="s">
        <v>83</v>
      </c>
      <c r="B59" s="106">
        <f t="shared" si="22"/>
        <v>0</v>
      </c>
      <c r="C59" s="98">
        <f t="shared" si="23"/>
        <v>0</v>
      </c>
      <c r="D59" s="97">
        <f t="shared" si="24"/>
        <v>0</v>
      </c>
      <c r="E59" s="196">
        <f t="shared" si="25"/>
        <v>0</v>
      </c>
      <c r="F59" s="188">
        <f t="shared" si="16"/>
        <v>0</v>
      </c>
      <c r="G59" s="97">
        <f t="shared" si="16"/>
        <v>0</v>
      </c>
      <c r="H59" s="97">
        <f t="shared" si="16"/>
        <v>0</v>
      </c>
      <c r="I59" s="97">
        <f t="shared" si="16"/>
        <v>0</v>
      </c>
      <c r="J59" s="97">
        <f t="shared" si="16"/>
        <v>0</v>
      </c>
      <c r="K59" s="97">
        <f t="shared" si="16"/>
        <v>0</v>
      </c>
      <c r="L59" s="97">
        <f t="shared" si="16"/>
        <v>0</v>
      </c>
      <c r="M59" s="97">
        <f t="shared" si="16"/>
        <v>0</v>
      </c>
      <c r="N59" s="97">
        <f t="shared" si="16"/>
        <v>0</v>
      </c>
      <c r="O59" s="97">
        <f t="shared" si="16"/>
        <v>0</v>
      </c>
      <c r="P59" s="189">
        <f t="shared" si="16"/>
        <v>0</v>
      </c>
      <c r="Q59" s="195">
        <f t="shared" si="17"/>
        <v>0</v>
      </c>
      <c r="R59" s="97">
        <f t="shared" si="17"/>
        <v>0</v>
      </c>
      <c r="S59" s="97">
        <f t="shared" si="17"/>
        <v>0</v>
      </c>
      <c r="T59" s="97">
        <f t="shared" si="17"/>
        <v>0</v>
      </c>
      <c r="U59" s="97">
        <f t="shared" si="17"/>
        <v>0</v>
      </c>
      <c r="V59" s="97">
        <f t="shared" si="17"/>
        <v>0</v>
      </c>
      <c r="W59" s="97">
        <f t="shared" si="17"/>
        <v>0</v>
      </c>
      <c r="X59" s="97">
        <f t="shared" si="17"/>
        <v>0</v>
      </c>
      <c r="Y59" s="97">
        <f t="shared" si="17"/>
        <v>0</v>
      </c>
      <c r="Z59" s="97">
        <f t="shared" si="17"/>
        <v>0</v>
      </c>
      <c r="AA59" s="196">
        <f t="shared" si="17"/>
        <v>0</v>
      </c>
      <c r="AB59" s="188">
        <f t="shared" si="18"/>
        <v>0</v>
      </c>
      <c r="AC59" s="97">
        <f t="shared" si="18"/>
        <v>0</v>
      </c>
      <c r="AD59" s="97">
        <f t="shared" si="18"/>
        <v>0</v>
      </c>
      <c r="AE59" s="97">
        <f t="shared" si="18"/>
        <v>0</v>
      </c>
      <c r="AF59" s="97">
        <f t="shared" si="18"/>
        <v>0</v>
      </c>
      <c r="AG59" s="97">
        <f t="shared" si="18"/>
        <v>0</v>
      </c>
      <c r="AH59" s="97">
        <f t="shared" si="18"/>
        <v>0</v>
      </c>
      <c r="AI59" s="97">
        <f t="shared" si="18"/>
        <v>0</v>
      </c>
      <c r="AJ59" s="97">
        <f t="shared" si="18"/>
        <v>0</v>
      </c>
      <c r="AK59" s="97">
        <f t="shared" si="18"/>
        <v>0</v>
      </c>
      <c r="AL59" s="189">
        <f t="shared" si="18"/>
        <v>0</v>
      </c>
      <c r="AM59" s="195">
        <f t="shared" si="19"/>
        <v>0</v>
      </c>
      <c r="AN59" s="97">
        <f t="shared" si="19"/>
        <v>0</v>
      </c>
      <c r="AO59" s="97">
        <f t="shared" si="19"/>
        <v>0</v>
      </c>
      <c r="AP59" s="97">
        <f t="shared" si="19"/>
        <v>0</v>
      </c>
      <c r="AQ59" s="97">
        <f t="shared" si="19"/>
        <v>0</v>
      </c>
      <c r="AR59" s="97">
        <f t="shared" si="19"/>
        <v>0</v>
      </c>
      <c r="AS59" s="97">
        <f t="shared" si="19"/>
        <v>0</v>
      </c>
      <c r="AT59" s="97">
        <f t="shared" si="19"/>
        <v>0</v>
      </c>
      <c r="AU59" s="97">
        <f t="shared" si="19"/>
        <v>0</v>
      </c>
      <c r="AV59" s="97">
        <f t="shared" si="19"/>
        <v>0</v>
      </c>
      <c r="AW59" s="196">
        <f t="shared" si="19"/>
        <v>0</v>
      </c>
      <c r="AX59" s="188">
        <f t="shared" si="20"/>
        <v>0</v>
      </c>
      <c r="AY59" s="97">
        <f t="shared" si="20"/>
        <v>0</v>
      </c>
      <c r="AZ59" s="97">
        <f t="shared" si="20"/>
        <v>0</v>
      </c>
      <c r="BA59" s="97">
        <f t="shared" si="20"/>
        <v>0</v>
      </c>
      <c r="BB59" s="97">
        <f t="shared" si="20"/>
        <v>0</v>
      </c>
      <c r="BC59" s="97">
        <f t="shared" si="20"/>
        <v>0</v>
      </c>
      <c r="BD59" s="97">
        <f t="shared" si="20"/>
        <v>0</v>
      </c>
      <c r="BE59" s="97">
        <f t="shared" si="20"/>
        <v>0</v>
      </c>
      <c r="BF59" s="97">
        <f t="shared" si="20"/>
        <v>0</v>
      </c>
      <c r="BG59" s="97">
        <f t="shared" si="20"/>
        <v>0</v>
      </c>
      <c r="BH59" s="189">
        <f t="shared" si="20"/>
        <v>0</v>
      </c>
      <c r="BI59" s="195">
        <f t="shared" si="21"/>
        <v>0</v>
      </c>
      <c r="BJ59" s="97">
        <f t="shared" si="21"/>
        <v>0</v>
      </c>
      <c r="BK59" s="97">
        <f t="shared" si="21"/>
        <v>0</v>
      </c>
      <c r="BL59" s="97">
        <f t="shared" si="21"/>
        <v>0</v>
      </c>
      <c r="BM59" s="97">
        <f t="shared" si="21"/>
        <v>0</v>
      </c>
      <c r="BN59" s="97">
        <f t="shared" si="21"/>
        <v>0</v>
      </c>
      <c r="BO59" s="97">
        <f t="shared" si="21"/>
        <v>0</v>
      </c>
      <c r="BP59" s="97">
        <f t="shared" si="21"/>
        <v>0</v>
      </c>
      <c r="BQ59" s="97">
        <f t="shared" si="21"/>
        <v>0</v>
      </c>
      <c r="BR59" s="97">
        <f t="shared" si="21"/>
        <v>0</v>
      </c>
      <c r="BS59" s="189">
        <f t="shared" si="21"/>
        <v>0</v>
      </c>
    </row>
    <row r="60" spans="1:71" ht="13.5" thickBot="1" x14ac:dyDescent="0.25">
      <c r="A60" s="155" t="s">
        <v>84</v>
      </c>
      <c r="B60" s="156">
        <f t="shared" si="22"/>
        <v>0</v>
      </c>
      <c r="C60" s="157">
        <f t="shared" si="23"/>
        <v>0</v>
      </c>
      <c r="D60" s="191">
        <f t="shared" si="24"/>
        <v>0</v>
      </c>
      <c r="E60" s="198">
        <f t="shared" si="25"/>
        <v>0</v>
      </c>
      <c r="F60" s="203">
        <f t="shared" si="16"/>
        <v>0</v>
      </c>
      <c r="G60" s="204">
        <f t="shared" si="16"/>
        <v>0</v>
      </c>
      <c r="H60" s="204">
        <f t="shared" si="16"/>
        <v>0</v>
      </c>
      <c r="I60" s="204">
        <f t="shared" si="16"/>
        <v>0</v>
      </c>
      <c r="J60" s="204">
        <f t="shared" si="16"/>
        <v>0</v>
      </c>
      <c r="K60" s="204">
        <f t="shared" si="16"/>
        <v>0</v>
      </c>
      <c r="L60" s="204">
        <f t="shared" si="16"/>
        <v>0</v>
      </c>
      <c r="M60" s="204">
        <f t="shared" si="16"/>
        <v>0</v>
      </c>
      <c r="N60" s="204">
        <f t="shared" si="16"/>
        <v>0</v>
      </c>
      <c r="O60" s="204">
        <f t="shared" si="16"/>
        <v>0</v>
      </c>
      <c r="P60" s="206">
        <f t="shared" si="16"/>
        <v>0</v>
      </c>
      <c r="Q60" s="207">
        <f t="shared" si="17"/>
        <v>0</v>
      </c>
      <c r="R60" s="204">
        <f t="shared" si="17"/>
        <v>0</v>
      </c>
      <c r="S60" s="204">
        <f t="shared" si="17"/>
        <v>0</v>
      </c>
      <c r="T60" s="204">
        <f t="shared" si="17"/>
        <v>0</v>
      </c>
      <c r="U60" s="204">
        <f t="shared" si="17"/>
        <v>0</v>
      </c>
      <c r="V60" s="204">
        <f t="shared" si="17"/>
        <v>0</v>
      </c>
      <c r="W60" s="204">
        <f t="shared" si="17"/>
        <v>0</v>
      </c>
      <c r="X60" s="204">
        <f t="shared" si="17"/>
        <v>0</v>
      </c>
      <c r="Y60" s="204">
        <f t="shared" si="17"/>
        <v>0</v>
      </c>
      <c r="Z60" s="204">
        <f t="shared" si="17"/>
        <v>0</v>
      </c>
      <c r="AA60" s="205">
        <f t="shared" si="17"/>
        <v>0</v>
      </c>
      <c r="AB60" s="203">
        <f t="shared" si="18"/>
        <v>0</v>
      </c>
      <c r="AC60" s="204">
        <f t="shared" si="18"/>
        <v>0</v>
      </c>
      <c r="AD60" s="204">
        <f t="shared" si="18"/>
        <v>0</v>
      </c>
      <c r="AE60" s="204">
        <f t="shared" si="18"/>
        <v>0</v>
      </c>
      <c r="AF60" s="204">
        <f t="shared" si="18"/>
        <v>0</v>
      </c>
      <c r="AG60" s="204">
        <f t="shared" si="18"/>
        <v>0</v>
      </c>
      <c r="AH60" s="204">
        <f t="shared" si="18"/>
        <v>0</v>
      </c>
      <c r="AI60" s="204">
        <f t="shared" si="18"/>
        <v>0</v>
      </c>
      <c r="AJ60" s="204">
        <f t="shared" si="18"/>
        <v>0</v>
      </c>
      <c r="AK60" s="204">
        <f t="shared" si="18"/>
        <v>0</v>
      </c>
      <c r="AL60" s="206">
        <f t="shared" si="18"/>
        <v>0</v>
      </c>
      <c r="AM60" s="207">
        <f t="shared" si="19"/>
        <v>0</v>
      </c>
      <c r="AN60" s="204">
        <f t="shared" si="19"/>
        <v>0</v>
      </c>
      <c r="AO60" s="204">
        <f t="shared" si="19"/>
        <v>0</v>
      </c>
      <c r="AP60" s="204">
        <f t="shared" si="19"/>
        <v>0</v>
      </c>
      <c r="AQ60" s="204">
        <f t="shared" si="19"/>
        <v>0</v>
      </c>
      <c r="AR60" s="204">
        <f t="shared" si="19"/>
        <v>0</v>
      </c>
      <c r="AS60" s="204">
        <f t="shared" si="19"/>
        <v>0</v>
      </c>
      <c r="AT60" s="204">
        <f t="shared" si="19"/>
        <v>0</v>
      </c>
      <c r="AU60" s="204">
        <f t="shared" si="19"/>
        <v>0</v>
      </c>
      <c r="AV60" s="204">
        <f t="shared" si="19"/>
        <v>0</v>
      </c>
      <c r="AW60" s="205">
        <f t="shared" si="19"/>
        <v>0</v>
      </c>
      <c r="AX60" s="203">
        <f t="shared" si="20"/>
        <v>0</v>
      </c>
      <c r="AY60" s="204">
        <f t="shared" si="20"/>
        <v>0</v>
      </c>
      <c r="AZ60" s="204">
        <f t="shared" si="20"/>
        <v>0</v>
      </c>
      <c r="BA60" s="204">
        <f t="shared" si="20"/>
        <v>0</v>
      </c>
      <c r="BB60" s="204">
        <f t="shared" si="20"/>
        <v>0</v>
      </c>
      <c r="BC60" s="204">
        <f t="shared" si="20"/>
        <v>0</v>
      </c>
      <c r="BD60" s="204">
        <f t="shared" si="20"/>
        <v>0</v>
      </c>
      <c r="BE60" s="204">
        <f t="shared" si="20"/>
        <v>0</v>
      </c>
      <c r="BF60" s="204">
        <f t="shared" si="20"/>
        <v>0</v>
      </c>
      <c r="BG60" s="204">
        <f t="shared" si="20"/>
        <v>0</v>
      </c>
      <c r="BH60" s="206">
        <f t="shared" si="20"/>
        <v>0</v>
      </c>
      <c r="BI60" s="207">
        <f t="shared" si="21"/>
        <v>0</v>
      </c>
      <c r="BJ60" s="204">
        <f t="shared" si="21"/>
        <v>0</v>
      </c>
      <c r="BK60" s="204">
        <f t="shared" si="21"/>
        <v>0</v>
      </c>
      <c r="BL60" s="204">
        <f t="shared" si="21"/>
        <v>0</v>
      </c>
      <c r="BM60" s="204">
        <f t="shared" si="21"/>
        <v>0</v>
      </c>
      <c r="BN60" s="204">
        <f t="shared" si="21"/>
        <v>0</v>
      </c>
      <c r="BO60" s="204">
        <f t="shared" si="21"/>
        <v>0</v>
      </c>
      <c r="BP60" s="204">
        <f t="shared" si="21"/>
        <v>0</v>
      </c>
      <c r="BQ60" s="204">
        <f t="shared" si="21"/>
        <v>0</v>
      </c>
      <c r="BR60" s="204">
        <f t="shared" si="21"/>
        <v>0</v>
      </c>
      <c r="BS60" s="206">
        <f t="shared" si="21"/>
        <v>0</v>
      </c>
    </row>
    <row r="61" spans="1:71" x14ac:dyDescent="0.2">
      <c r="E61" s="108" t="s">
        <v>300</v>
      </c>
      <c r="F61" s="185" t="e">
        <f>SUM(F49:F60)</f>
        <v>#N/A</v>
      </c>
      <c r="G61" s="186" t="e">
        <f t="shared" ref="G61:P61" si="26">SUM(G49:G60)</f>
        <v>#N/A</v>
      </c>
      <c r="H61" s="186" t="e">
        <f t="shared" si="26"/>
        <v>#N/A</v>
      </c>
      <c r="I61" s="186" t="e">
        <f t="shared" si="26"/>
        <v>#N/A</v>
      </c>
      <c r="J61" s="186" t="e">
        <f t="shared" si="26"/>
        <v>#N/A</v>
      </c>
      <c r="K61" s="186" t="e">
        <f t="shared" si="26"/>
        <v>#N/A</v>
      </c>
      <c r="L61" s="186" t="e">
        <f t="shared" si="26"/>
        <v>#N/A</v>
      </c>
      <c r="M61" s="186" t="e">
        <f t="shared" si="26"/>
        <v>#N/A</v>
      </c>
      <c r="N61" s="186" t="e">
        <f t="shared" si="26"/>
        <v>#N/A</v>
      </c>
      <c r="O61" s="186" t="e">
        <f t="shared" si="26"/>
        <v>#N/A</v>
      </c>
      <c r="P61" s="187" t="e">
        <f t="shared" si="26"/>
        <v>#N/A</v>
      </c>
      <c r="Q61" s="193" t="e">
        <f t="shared" ref="Q61" si="27">SUM(Q49:Q60)</f>
        <v>#N/A</v>
      </c>
      <c r="R61" s="186" t="e">
        <f>SUM(R49:R60)</f>
        <v>#N/A</v>
      </c>
      <c r="S61" s="186" t="e">
        <f t="shared" ref="S61" si="28">SUM(S49:S60)</f>
        <v>#N/A</v>
      </c>
      <c r="T61" s="186" t="e">
        <f t="shared" ref="T61" si="29">SUM(T49:T60)</f>
        <v>#N/A</v>
      </c>
      <c r="U61" s="186" t="e">
        <f t="shared" ref="U61" si="30">SUM(U49:U60)</f>
        <v>#N/A</v>
      </c>
      <c r="V61" s="186" t="e">
        <f t="shared" ref="V61" si="31">SUM(V49:V60)</f>
        <v>#N/A</v>
      </c>
      <c r="W61" s="186" t="e">
        <f t="shared" ref="W61" si="32">SUM(W49:W60)</f>
        <v>#N/A</v>
      </c>
      <c r="X61" s="186" t="e">
        <f t="shared" ref="X61" si="33">SUM(X49:X60)</f>
        <v>#N/A</v>
      </c>
      <c r="Y61" s="186" t="e">
        <f t="shared" ref="Y61" si="34">SUM(Y49:Y60)</f>
        <v>#N/A</v>
      </c>
      <c r="Z61" s="186" t="e">
        <f t="shared" ref="Z61" si="35">SUM(Z49:Z60)</f>
        <v>#N/A</v>
      </c>
      <c r="AA61" s="194" t="e">
        <f t="shared" ref="AA61" si="36">SUM(AA49:AA60)</f>
        <v>#N/A</v>
      </c>
      <c r="AB61" s="185" t="e">
        <f>SUM(AB49:AB60)</f>
        <v>#N/A</v>
      </c>
      <c r="AC61" s="186" t="e">
        <f t="shared" ref="AC61" si="37">SUM(AC49:AC60)</f>
        <v>#N/A</v>
      </c>
      <c r="AD61" s="186" t="e">
        <f t="shared" ref="AD61" si="38">SUM(AD49:AD60)</f>
        <v>#N/A</v>
      </c>
      <c r="AE61" s="186" t="e">
        <f t="shared" ref="AE61" si="39">SUM(AE49:AE60)</f>
        <v>#N/A</v>
      </c>
      <c r="AF61" s="186" t="e">
        <f t="shared" ref="AF61" si="40">SUM(AF49:AF60)</f>
        <v>#N/A</v>
      </c>
      <c r="AG61" s="186" t="e">
        <f t="shared" ref="AG61" si="41">SUM(AG49:AG60)</f>
        <v>#N/A</v>
      </c>
      <c r="AH61" s="186" t="e">
        <f t="shared" ref="AH61" si="42">SUM(AH49:AH60)</f>
        <v>#N/A</v>
      </c>
      <c r="AI61" s="186" t="e">
        <f t="shared" ref="AI61" si="43">SUM(AI49:AI60)</f>
        <v>#N/A</v>
      </c>
      <c r="AJ61" s="186" t="e">
        <f t="shared" ref="AJ61" si="44">SUM(AJ49:AJ60)</f>
        <v>#N/A</v>
      </c>
      <c r="AK61" s="186" t="e">
        <f t="shared" ref="AK61" si="45">SUM(AK49:AK60)</f>
        <v>#N/A</v>
      </c>
      <c r="AL61" s="187" t="e">
        <f t="shared" ref="AL61" si="46">SUM(AL49:AL60)</f>
        <v>#N/A</v>
      </c>
      <c r="AM61" s="193" t="e">
        <f t="shared" ref="AM61" si="47">SUM(AM49:AM60)</f>
        <v>#N/A</v>
      </c>
      <c r="AN61" s="186" t="e">
        <f t="shared" ref="AN61" si="48">SUM(AN49:AN60)</f>
        <v>#N/A</v>
      </c>
      <c r="AO61" s="186" t="e">
        <f t="shared" ref="AO61" si="49">SUM(AO49:AO60)</f>
        <v>#N/A</v>
      </c>
      <c r="AP61" s="186" t="e">
        <f t="shared" ref="AP61" si="50">SUM(AP49:AP60)</f>
        <v>#N/A</v>
      </c>
      <c r="AQ61" s="186" t="e">
        <f t="shared" ref="AQ61" si="51">SUM(AQ49:AQ60)</f>
        <v>#N/A</v>
      </c>
      <c r="AR61" s="186" t="e">
        <f t="shared" ref="AR61" si="52">SUM(AR49:AR60)</f>
        <v>#N/A</v>
      </c>
      <c r="AS61" s="186" t="e">
        <f t="shared" ref="AS61" si="53">SUM(AS49:AS60)</f>
        <v>#N/A</v>
      </c>
      <c r="AT61" s="186" t="e">
        <f t="shared" ref="AT61" si="54">SUM(AT49:AT60)</f>
        <v>#N/A</v>
      </c>
      <c r="AU61" s="186" t="e">
        <f t="shared" ref="AU61" si="55">SUM(AU49:AU60)</f>
        <v>#N/A</v>
      </c>
      <c r="AV61" s="186" t="e">
        <f t="shared" ref="AV61" si="56">SUM(AV49:AV60)</f>
        <v>#N/A</v>
      </c>
      <c r="AW61" s="194" t="e">
        <f t="shared" ref="AW61" si="57">SUM(AW49:AW60)</f>
        <v>#N/A</v>
      </c>
      <c r="AX61" s="185" t="e">
        <f>SUM(AX49:AX60)</f>
        <v>#N/A</v>
      </c>
      <c r="AY61" s="186" t="e">
        <f t="shared" ref="AY61" si="58">SUM(AY49:AY60)</f>
        <v>#N/A</v>
      </c>
      <c r="AZ61" s="186" t="e">
        <f t="shared" ref="AZ61" si="59">SUM(AZ49:AZ60)</f>
        <v>#N/A</v>
      </c>
      <c r="BA61" s="186" t="e">
        <f t="shared" ref="BA61" si="60">SUM(BA49:BA60)</f>
        <v>#N/A</v>
      </c>
      <c r="BB61" s="186" t="e">
        <f t="shared" ref="BB61" si="61">SUM(BB49:BB60)</f>
        <v>#N/A</v>
      </c>
      <c r="BC61" s="186" t="e">
        <f t="shared" ref="BC61" si="62">SUM(BC49:BC60)</f>
        <v>#N/A</v>
      </c>
      <c r="BD61" s="186" t="e">
        <f t="shared" ref="BD61" si="63">SUM(BD49:BD60)</f>
        <v>#N/A</v>
      </c>
      <c r="BE61" s="186" t="e">
        <f t="shared" ref="BE61" si="64">SUM(BE49:BE60)</f>
        <v>#N/A</v>
      </c>
      <c r="BF61" s="186" t="e">
        <f t="shared" ref="BF61" si="65">SUM(BF49:BF60)</f>
        <v>#N/A</v>
      </c>
      <c r="BG61" s="186" t="e">
        <f t="shared" ref="BG61" si="66">SUM(BG49:BG60)</f>
        <v>#N/A</v>
      </c>
      <c r="BH61" s="187" t="e">
        <f t="shared" ref="BH61" si="67">SUM(BH49:BH60)</f>
        <v>#N/A</v>
      </c>
      <c r="BI61" s="193" t="e">
        <f t="shared" ref="BI61" si="68">SUM(BI49:BI60)</f>
        <v>#N/A</v>
      </c>
      <c r="BJ61" s="186" t="e">
        <f t="shared" ref="BJ61" si="69">SUM(BJ49:BJ60)</f>
        <v>#N/A</v>
      </c>
      <c r="BK61" s="186" t="e">
        <f t="shared" ref="BK61" si="70">SUM(BK49:BK60)</f>
        <v>#N/A</v>
      </c>
      <c r="BL61" s="186" t="e">
        <f t="shared" ref="BL61" si="71">SUM(BL49:BL60)</f>
        <v>#N/A</v>
      </c>
      <c r="BM61" s="186" t="e">
        <f t="shared" ref="BM61" si="72">SUM(BM49:BM60)</f>
        <v>#N/A</v>
      </c>
      <c r="BN61" s="186" t="e">
        <f t="shared" ref="BN61" si="73">SUM(BN49:BN60)</f>
        <v>#N/A</v>
      </c>
      <c r="BO61" s="186" t="e">
        <f t="shared" ref="BO61" si="74">SUM(BO49:BO60)</f>
        <v>#N/A</v>
      </c>
      <c r="BP61" s="186" t="e">
        <f t="shared" ref="BP61" si="75">SUM(BP49:BP60)</f>
        <v>#N/A</v>
      </c>
      <c r="BQ61" s="186" t="e">
        <f t="shared" ref="BQ61" si="76">SUM(BQ49:BQ60)</f>
        <v>#N/A</v>
      </c>
      <c r="BR61" s="186" t="e">
        <f t="shared" ref="BR61" si="77">SUM(BR49:BR60)</f>
        <v>#N/A</v>
      </c>
      <c r="BS61" s="187" t="e">
        <f t="shared" ref="BS61" si="78">SUM(BS49:BS60)</f>
        <v>#N/A</v>
      </c>
    </row>
    <row r="62" spans="1:71" x14ac:dyDescent="0.2">
      <c r="E62" s="108" t="s">
        <v>370</v>
      </c>
      <c r="F62" s="188" t="e">
        <f>VLOOKUP($D$13,'Mast Arm Pole Capacities'!$A$15:$BP$20,'Mast Arm Pole Design'!F47,0)</f>
        <v>#N/A</v>
      </c>
      <c r="G62" s="97" t="e">
        <f>VLOOKUP($D$13,'Mast Arm Pole Capacities'!$A$15:$BP$20,'Mast Arm Pole Design'!G47,0)</f>
        <v>#N/A</v>
      </c>
      <c r="H62" s="97" t="e">
        <f>VLOOKUP($D$13,'Mast Arm Pole Capacities'!$A$15:$BP$20,'Mast Arm Pole Design'!H47,0)</f>
        <v>#N/A</v>
      </c>
      <c r="I62" s="97" t="e">
        <f>VLOOKUP($D$13,'Mast Arm Pole Capacities'!$A$15:$BP$20,'Mast Arm Pole Design'!I47,0)</f>
        <v>#N/A</v>
      </c>
      <c r="J62" s="97" t="e">
        <f>VLOOKUP($D$13,'Mast Arm Pole Capacities'!$A$15:$BP$20,'Mast Arm Pole Design'!J47,0)</f>
        <v>#N/A</v>
      </c>
      <c r="K62" s="97" t="e">
        <f>VLOOKUP($D$13,'Mast Arm Pole Capacities'!$A$15:$BP$20,'Mast Arm Pole Design'!K47,0)</f>
        <v>#N/A</v>
      </c>
      <c r="L62" s="97" t="e">
        <f>VLOOKUP($D$13,'Mast Arm Pole Capacities'!$A$15:$BP$20,'Mast Arm Pole Design'!L47,0)</f>
        <v>#N/A</v>
      </c>
      <c r="M62" s="97" t="e">
        <f>VLOOKUP($D$13,'Mast Arm Pole Capacities'!$A$15:$BP$20,'Mast Arm Pole Design'!M47,0)</f>
        <v>#N/A</v>
      </c>
      <c r="N62" s="97" t="e">
        <f>VLOOKUP($D$13,'Mast Arm Pole Capacities'!$A$15:$BP$20,'Mast Arm Pole Design'!N47,0)</f>
        <v>#N/A</v>
      </c>
      <c r="O62" s="97" t="e">
        <f>VLOOKUP($D$13,'Mast Arm Pole Capacities'!$A$15:$BP$20,'Mast Arm Pole Design'!O47,0)</f>
        <v>#N/A</v>
      </c>
      <c r="P62" s="189" t="e">
        <f>VLOOKUP($D$13,'Mast Arm Pole Capacities'!$A$15:$BP$20,'Mast Arm Pole Design'!P47,0)</f>
        <v>#N/A</v>
      </c>
      <c r="Q62" s="195" t="e">
        <f>VLOOKUP($D$13,'Mast Arm Pole Capacities'!$A$15:$BP$20,'Mast Arm Pole Design'!Q47,0)</f>
        <v>#N/A</v>
      </c>
      <c r="R62" s="97" t="e">
        <f>VLOOKUP($D$13,'Mast Arm Pole Capacities'!$A$15:$BP$20,'Mast Arm Pole Design'!R47,0)</f>
        <v>#N/A</v>
      </c>
      <c r="S62" s="97" t="e">
        <f>VLOOKUP($D$13,'Mast Arm Pole Capacities'!$A$15:$BP$20,'Mast Arm Pole Design'!S47,0)</f>
        <v>#N/A</v>
      </c>
      <c r="T62" s="97" t="e">
        <f>VLOOKUP($D$13,'Mast Arm Pole Capacities'!$A$15:$BP$20,'Mast Arm Pole Design'!T47,0)</f>
        <v>#N/A</v>
      </c>
      <c r="U62" s="97" t="e">
        <f>VLOOKUP($D$13,'Mast Arm Pole Capacities'!$A$15:$BP$20,'Mast Arm Pole Design'!U47,0)</f>
        <v>#N/A</v>
      </c>
      <c r="V62" s="97" t="e">
        <f>VLOOKUP($D$13,'Mast Arm Pole Capacities'!$A$15:$BP$20,'Mast Arm Pole Design'!V47,0)</f>
        <v>#N/A</v>
      </c>
      <c r="W62" s="97" t="e">
        <f>VLOOKUP($D$13,'Mast Arm Pole Capacities'!$A$15:$BP$20,'Mast Arm Pole Design'!W47,0)</f>
        <v>#N/A</v>
      </c>
      <c r="X62" s="97" t="e">
        <f>VLOOKUP($D$13,'Mast Arm Pole Capacities'!$A$15:$BP$20,'Mast Arm Pole Design'!X47,0)</f>
        <v>#N/A</v>
      </c>
      <c r="Y62" s="97" t="e">
        <f>VLOOKUP($D$13,'Mast Arm Pole Capacities'!$A$15:$BP$20,'Mast Arm Pole Design'!Y47,0)</f>
        <v>#N/A</v>
      </c>
      <c r="Z62" s="97" t="e">
        <f>VLOOKUP($D$13,'Mast Arm Pole Capacities'!$A$15:$BP$20,'Mast Arm Pole Design'!Z47,0)</f>
        <v>#N/A</v>
      </c>
      <c r="AA62" s="196" t="e">
        <f>VLOOKUP($D$13,'Mast Arm Pole Capacities'!$A$15:$BP$20,'Mast Arm Pole Design'!AA47,0)</f>
        <v>#N/A</v>
      </c>
      <c r="AB62" s="188" t="e">
        <f>VLOOKUP($D$13,'Mast Arm Pole Capacities'!$A$15:$BP$20,'Mast Arm Pole Design'!AB47,0)</f>
        <v>#N/A</v>
      </c>
      <c r="AC62" s="97" t="e">
        <f>VLOOKUP($D$13,'Mast Arm Pole Capacities'!$A$15:$BP$20,'Mast Arm Pole Design'!AC47,0)</f>
        <v>#N/A</v>
      </c>
      <c r="AD62" s="97" t="e">
        <f>VLOOKUP($D$13,'Mast Arm Pole Capacities'!$A$15:$BP$20,'Mast Arm Pole Design'!AD47,0)</f>
        <v>#N/A</v>
      </c>
      <c r="AE62" s="97" t="e">
        <f>VLOOKUP($D$13,'Mast Arm Pole Capacities'!$A$15:$BP$20,'Mast Arm Pole Design'!AE47,0)</f>
        <v>#N/A</v>
      </c>
      <c r="AF62" s="97" t="e">
        <f>VLOOKUP($D$13,'Mast Arm Pole Capacities'!$A$15:$BP$20,'Mast Arm Pole Design'!AF47,0)</f>
        <v>#N/A</v>
      </c>
      <c r="AG62" s="97" t="e">
        <f>VLOOKUP($D$13,'Mast Arm Pole Capacities'!$A$15:$BP$20,'Mast Arm Pole Design'!AG47,0)</f>
        <v>#N/A</v>
      </c>
      <c r="AH62" s="97" t="e">
        <f>VLOOKUP($D$13,'Mast Arm Pole Capacities'!$A$15:$BP$20,'Mast Arm Pole Design'!AH47,0)</f>
        <v>#N/A</v>
      </c>
      <c r="AI62" s="97" t="e">
        <f>VLOOKUP($D$13,'Mast Arm Pole Capacities'!$A$15:$BP$20,'Mast Arm Pole Design'!AI47,0)</f>
        <v>#N/A</v>
      </c>
      <c r="AJ62" s="97" t="e">
        <f>VLOOKUP($D$13,'Mast Arm Pole Capacities'!$A$15:$BP$20,'Mast Arm Pole Design'!AJ47,0)</f>
        <v>#N/A</v>
      </c>
      <c r="AK62" s="97" t="e">
        <f>VLOOKUP($D$13,'Mast Arm Pole Capacities'!$A$15:$BP$20,'Mast Arm Pole Design'!AK47,0)</f>
        <v>#N/A</v>
      </c>
      <c r="AL62" s="189" t="e">
        <f>VLOOKUP($D$13,'Mast Arm Pole Capacities'!$A$15:$BP$20,'Mast Arm Pole Design'!AL47,0)</f>
        <v>#N/A</v>
      </c>
      <c r="AM62" s="195" t="e">
        <f>VLOOKUP($D$13,'Mast Arm Pole Capacities'!$A$15:$BP$20,'Mast Arm Pole Design'!AM47,0)</f>
        <v>#N/A</v>
      </c>
      <c r="AN62" s="97" t="e">
        <f>VLOOKUP($D$13,'Mast Arm Pole Capacities'!$A$15:$BP$20,'Mast Arm Pole Design'!AN47,0)</f>
        <v>#N/A</v>
      </c>
      <c r="AO62" s="97" t="e">
        <f>VLOOKUP($D$13,'Mast Arm Pole Capacities'!$A$15:$BP$20,'Mast Arm Pole Design'!AO47,0)</f>
        <v>#N/A</v>
      </c>
      <c r="AP62" s="97" t="e">
        <f>VLOOKUP($D$13,'Mast Arm Pole Capacities'!$A$15:$BP$20,'Mast Arm Pole Design'!AP47,0)</f>
        <v>#N/A</v>
      </c>
      <c r="AQ62" s="97" t="e">
        <f>VLOOKUP($D$13,'Mast Arm Pole Capacities'!$A$15:$BP$20,'Mast Arm Pole Design'!AQ47,0)</f>
        <v>#N/A</v>
      </c>
      <c r="AR62" s="97" t="e">
        <f>VLOOKUP($D$13,'Mast Arm Pole Capacities'!$A$15:$BP$20,'Mast Arm Pole Design'!AR47,0)</f>
        <v>#N/A</v>
      </c>
      <c r="AS62" s="97" t="e">
        <f>VLOOKUP($D$13,'Mast Arm Pole Capacities'!$A$15:$BP$20,'Mast Arm Pole Design'!AS47,0)</f>
        <v>#N/A</v>
      </c>
      <c r="AT62" s="97" t="e">
        <f>VLOOKUP($D$13,'Mast Arm Pole Capacities'!$A$15:$BP$20,'Mast Arm Pole Design'!AT47,0)</f>
        <v>#N/A</v>
      </c>
      <c r="AU62" s="97" t="e">
        <f>VLOOKUP($D$13,'Mast Arm Pole Capacities'!$A$15:$BP$20,'Mast Arm Pole Design'!AU47,0)</f>
        <v>#N/A</v>
      </c>
      <c r="AV62" s="97" t="e">
        <f>VLOOKUP($D$13,'Mast Arm Pole Capacities'!$A$15:$BP$20,'Mast Arm Pole Design'!AV47,0)</f>
        <v>#N/A</v>
      </c>
      <c r="AW62" s="196" t="e">
        <f>VLOOKUP($D$13,'Mast Arm Pole Capacities'!$A$15:$BP$20,'Mast Arm Pole Design'!AW47,0)</f>
        <v>#N/A</v>
      </c>
      <c r="AX62" s="188" t="e">
        <f>VLOOKUP($D$13,'Mast Arm Pole Capacities'!$A$15:$BP$20,'Mast Arm Pole Design'!AX47,0)</f>
        <v>#N/A</v>
      </c>
      <c r="AY62" s="97" t="e">
        <f>VLOOKUP($D$13,'Mast Arm Pole Capacities'!$A$15:$BP$20,'Mast Arm Pole Design'!AY47,0)</f>
        <v>#N/A</v>
      </c>
      <c r="AZ62" s="97" t="e">
        <f>VLOOKUP($D$13,'Mast Arm Pole Capacities'!$A$15:$BP$20,'Mast Arm Pole Design'!AZ47,0)</f>
        <v>#N/A</v>
      </c>
      <c r="BA62" s="97" t="e">
        <f>VLOOKUP($D$13,'Mast Arm Pole Capacities'!$A$15:$BP$20,'Mast Arm Pole Design'!BA47,0)</f>
        <v>#N/A</v>
      </c>
      <c r="BB62" s="97" t="e">
        <f>VLOOKUP($D$13,'Mast Arm Pole Capacities'!$A$15:$BP$20,'Mast Arm Pole Design'!BB47,0)</f>
        <v>#N/A</v>
      </c>
      <c r="BC62" s="97" t="e">
        <f>VLOOKUP($D$13,'Mast Arm Pole Capacities'!$A$15:$BP$20,'Mast Arm Pole Design'!BC47,0)</f>
        <v>#N/A</v>
      </c>
      <c r="BD62" s="97" t="e">
        <f>VLOOKUP($D$13,'Mast Arm Pole Capacities'!$A$15:$BP$20,'Mast Arm Pole Design'!BD47,0)</f>
        <v>#N/A</v>
      </c>
      <c r="BE62" s="97" t="e">
        <f>VLOOKUP($D$13,'Mast Arm Pole Capacities'!$A$15:$BP$20,'Mast Arm Pole Design'!BE47,0)</f>
        <v>#N/A</v>
      </c>
      <c r="BF62" s="97" t="e">
        <f>VLOOKUP($D$13,'Mast Arm Pole Capacities'!$A$15:$BP$20,'Mast Arm Pole Design'!BF47,0)</f>
        <v>#N/A</v>
      </c>
      <c r="BG62" s="97" t="e">
        <f>VLOOKUP($D$13,'Mast Arm Pole Capacities'!$A$15:$BP$20,'Mast Arm Pole Design'!BG47,0)</f>
        <v>#N/A</v>
      </c>
      <c r="BH62" s="189" t="e">
        <f>VLOOKUP($D$13,'Mast Arm Pole Capacities'!$A$15:$BP$20,'Mast Arm Pole Design'!BH47,0)</f>
        <v>#N/A</v>
      </c>
      <c r="BI62" s="195" t="e">
        <f>VLOOKUP($D$13,'Mast Arm Pole Capacities'!$A$15:$BP$20,'Mast Arm Pole Design'!BI47,0)</f>
        <v>#N/A</v>
      </c>
      <c r="BJ62" s="97" t="e">
        <f>VLOOKUP($D$13,'Mast Arm Pole Capacities'!$A$15:$BP$20,'Mast Arm Pole Design'!BJ47,0)</f>
        <v>#N/A</v>
      </c>
      <c r="BK62" s="97" t="e">
        <f>VLOOKUP($D$13,'Mast Arm Pole Capacities'!$A$15:$BP$20,'Mast Arm Pole Design'!BK47,0)</f>
        <v>#N/A</v>
      </c>
      <c r="BL62" s="97" t="e">
        <f>VLOOKUP($D$13,'Mast Arm Pole Capacities'!$A$15:$BP$20,'Mast Arm Pole Design'!BL47,0)</f>
        <v>#N/A</v>
      </c>
      <c r="BM62" s="97" t="e">
        <f>VLOOKUP($D$13,'Mast Arm Pole Capacities'!$A$15:$BP$20,'Mast Arm Pole Design'!BM47,0)</f>
        <v>#N/A</v>
      </c>
      <c r="BN62" s="97" t="e">
        <f>VLOOKUP($D$13,'Mast Arm Pole Capacities'!$A$15:$BP$20,'Mast Arm Pole Design'!BN47,0)</f>
        <v>#N/A</v>
      </c>
      <c r="BO62" s="97" t="e">
        <f>VLOOKUP($D$13,'Mast Arm Pole Capacities'!$A$15:$BP$20,'Mast Arm Pole Design'!BO47,0)</f>
        <v>#N/A</v>
      </c>
      <c r="BP62" s="97" t="e">
        <f>VLOOKUP($D$13,'Mast Arm Pole Capacities'!$A$15:$BP$20,'Mast Arm Pole Design'!BP47,0)</f>
        <v>#N/A</v>
      </c>
      <c r="BQ62" s="97" t="e">
        <f>VLOOKUP($D$13,'Mast Arm Pole Capacities'!$A$15:$BP$20,'Mast Arm Pole Design'!BQ47,0)</f>
        <v>#N/A</v>
      </c>
      <c r="BR62" s="97" t="e">
        <f>VLOOKUP($D$13,'Mast Arm Pole Capacities'!$A$15:$BP$20,'Mast Arm Pole Design'!BR47,0)</f>
        <v>#N/A</v>
      </c>
      <c r="BS62" s="189" t="e">
        <f>VLOOKUP($D$13,'Mast Arm Pole Capacities'!$A$15:$BP$20,'Mast Arm Pole Design'!BS47,0)</f>
        <v>#N/A</v>
      </c>
    </row>
    <row r="63" spans="1:71" x14ac:dyDescent="0.2">
      <c r="E63" s="108" t="s">
        <v>371</v>
      </c>
      <c r="F63" s="203" t="e">
        <f>IF(F48&lt;=IF('Mast Arm 2 Design'!$D$8="",19,18.5),'Mast Arm 1 Design'!$L$112*90,0)+IF(F48&lt;=IF('Mast Arm 2 Design'!$D$8="",19,21),'Mast Arm 2 Design'!$L$112*90,0)</f>
        <v>#N/A</v>
      </c>
      <c r="G63" s="204" t="e">
        <f>IF(G48&lt;=IF('Mast Arm 2 Design'!$D$8="",19,18.5),'Mast Arm 1 Design'!$L$112*90,0)+IF(G48&lt;=IF('Mast Arm 2 Design'!$D$8="",19,21),'Mast Arm 2 Design'!$L$112*90,0)</f>
        <v>#N/A</v>
      </c>
      <c r="H63" s="204" t="e">
        <f>IF(H48&lt;=IF('Mast Arm 2 Design'!$D$8="",19,18.5),'Mast Arm 1 Design'!$L$112*90,0)+IF(H48&lt;=IF('Mast Arm 2 Design'!$D$8="",19,21),'Mast Arm 2 Design'!$L$112*90,0)</f>
        <v>#N/A</v>
      </c>
      <c r="I63" s="204" t="e">
        <f>IF(I48&lt;=IF('Mast Arm 2 Design'!$D$8="",19,18.5),'Mast Arm 1 Design'!$L$112*90,0)+IF(I48&lt;=IF('Mast Arm 2 Design'!$D$8="",19,21),'Mast Arm 2 Design'!$L$112*90,0)</f>
        <v>#N/A</v>
      </c>
      <c r="J63" s="204">
        <f>IF(J48&lt;=IF('Mast Arm 2 Design'!$D$8="",19,18.5),'Mast Arm 1 Design'!$L$112*90,0)+IF(J48&lt;=IF('Mast Arm 2 Design'!$D$8="",19,21),'Mast Arm 2 Design'!$L$112*90,0)</f>
        <v>0</v>
      </c>
      <c r="K63" s="204">
        <f>IF(K48&lt;=IF('Mast Arm 2 Design'!$D$8="",19,18.5),'Mast Arm 1 Design'!$L$112*90,0)+IF(K48&lt;=IF('Mast Arm 2 Design'!$D$8="",19,21),'Mast Arm 2 Design'!$L$112*90,0)</f>
        <v>0</v>
      </c>
      <c r="L63" s="204">
        <f>IF(L48&lt;=IF('Mast Arm 2 Design'!$D$8="",19,18.5),'Mast Arm 1 Design'!$L$112*90,0)+IF(L48&lt;=IF('Mast Arm 2 Design'!$D$8="",19,21),'Mast Arm 2 Design'!$L$112*90,0)</f>
        <v>0</v>
      </c>
      <c r="M63" s="204">
        <f>IF(M48&lt;=IF('Mast Arm 2 Design'!$D$8="",19,18.5),'Mast Arm 1 Design'!$L$112*90,0)+IF(M48&lt;=IF('Mast Arm 2 Design'!$D$8="",19,21),'Mast Arm 2 Design'!$L$112*90,0)</f>
        <v>0</v>
      </c>
      <c r="N63" s="204">
        <f>IF(N48&lt;=IF('Mast Arm 2 Design'!$D$8="",19,18.5),'Mast Arm 1 Design'!$L$112*90,0)+IF(N48&lt;=IF('Mast Arm 2 Design'!$D$8="",19,21),'Mast Arm 2 Design'!$L$112*90,0)</f>
        <v>0</v>
      </c>
      <c r="O63" s="204">
        <f>IF(O48&lt;=IF('Mast Arm 2 Design'!$D$8="",19,18.5),'Mast Arm 1 Design'!$L$112*90,0)+IF(O48&lt;=IF('Mast Arm 2 Design'!$D$8="",19,21),'Mast Arm 2 Design'!$L$112*90,0)</f>
        <v>0</v>
      </c>
      <c r="P63" s="206">
        <f>IF(P48&lt;=IF('Mast Arm 2 Design'!$D$8="",19,18.5),'Mast Arm 1 Design'!$L$112*90,0)+IF(P48&lt;=IF('Mast Arm 2 Design'!$D$8="",19,21),'Mast Arm 2 Design'!$L$112*90,0)</f>
        <v>0</v>
      </c>
      <c r="Q63" s="203" t="e">
        <f>IF(Q48&lt;=IF('Mast Arm 2 Design'!$D$8="",19,18.5),'Mast Arm 1 Design'!$L$112*90*(IF('Mast Arm 2 Design'!$D$8="",19,18.5)-Q48),0)+IF(Q48&lt;=IF('Mast Arm 2 Design'!$D$8="",19,21),'Mast Arm 2 Design'!$L$112*90*(IF('Mast Arm 2 Design'!$D$8="",19,21)-Q48),0)</f>
        <v>#N/A</v>
      </c>
      <c r="R63" s="204" t="e">
        <f>IF(R48&lt;=IF('Mast Arm 2 Design'!$D$8="",19,18.5),'Mast Arm 1 Design'!$L$112*90*(IF('Mast Arm 2 Design'!$D$8="",19,18.5)-R48),0)+IF(R48&lt;=IF('Mast Arm 2 Design'!$D$8="",19,21),'Mast Arm 2 Design'!$L$112*90*(IF('Mast Arm 2 Design'!$D$8="",19,21)-R48),0)</f>
        <v>#N/A</v>
      </c>
      <c r="S63" s="204" t="e">
        <f>IF(S48&lt;=IF('Mast Arm 2 Design'!$D$8="",19,18.5),'Mast Arm 1 Design'!$L$112*90*(IF('Mast Arm 2 Design'!$D$8="",19,18.5)-S48),0)+IF(S48&lt;=IF('Mast Arm 2 Design'!$D$8="",19,21),'Mast Arm 2 Design'!$L$112*90*(IF('Mast Arm 2 Design'!$D$8="",19,21)-S48),0)</f>
        <v>#N/A</v>
      </c>
      <c r="T63" s="204" t="e">
        <f>IF(T48&lt;=IF('Mast Arm 2 Design'!$D$8="",19,18.5),'Mast Arm 1 Design'!$L$112*90*(IF('Mast Arm 2 Design'!$D$8="",19,18.5)-T48),0)+IF(T48&lt;=IF('Mast Arm 2 Design'!$D$8="",19,21),'Mast Arm 2 Design'!$L$112*90*(IF('Mast Arm 2 Design'!$D$8="",19,21)-T48),0)</f>
        <v>#N/A</v>
      </c>
      <c r="U63" s="204">
        <f>IF(U48&lt;=IF('Mast Arm 2 Design'!$D$8="",19,18.5),'Mast Arm 1 Design'!$L$112*90*(IF('Mast Arm 2 Design'!$D$8="",19,18.5)-U48),0)+IF(U48&lt;=IF('Mast Arm 2 Design'!$D$8="",19,21),'Mast Arm 2 Design'!$L$112*90*(IF('Mast Arm 2 Design'!$D$8="",19,21)-U48),0)</f>
        <v>0</v>
      </c>
      <c r="V63" s="204">
        <f>IF(V48&lt;=IF('Mast Arm 2 Design'!$D$8="",19,18.5),'Mast Arm 1 Design'!$L$112*90*(IF('Mast Arm 2 Design'!$D$8="",19,18.5)-V48),0)+IF(V48&lt;=IF('Mast Arm 2 Design'!$D$8="",19,21),'Mast Arm 2 Design'!$L$112*90*(IF('Mast Arm 2 Design'!$D$8="",19,21)-V48),0)</f>
        <v>0</v>
      </c>
      <c r="W63" s="204">
        <f>IF(W48&lt;=IF('Mast Arm 2 Design'!$D$8="",19,18.5),'Mast Arm 1 Design'!$L$112*90*(IF('Mast Arm 2 Design'!$D$8="",19,18.5)-W48),0)+IF(W48&lt;=IF('Mast Arm 2 Design'!$D$8="",19,21),'Mast Arm 2 Design'!$L$112*90*(IF('Mast Arm 2 Design'!$D$8="",19,21)-W48),0)</f>
        <v>0</v>
      </c>
      <c r="X63" s="204">
        <f>IF(X48&lt;=IF('Mast Arm 2 Design'!$D$8="",19,18.5),'Mast Arm 1 Design'!$L$112*90*(IF('Mast Arm 2 Design'!$D$8="",19,18.5)-X48),0)+IF(X48&lt;=IF('Mast Arm 2 Design'!$D$8="",19,21),'Mast Arm 2 Design'!$L$112*90*(IF('Mast Arm 2 Design'!$D$8="",19,21)-X48),0)</f>
        <v>0</v>
      </c>
      <c r="Y63" s="204">
        <f>IF(Y48&lt;=IF('Mast Arm 2 Design'!$D$8="",19,18.5),'Mast Arm 1 Design'!$L$112*90*(IF('Mast Arm 2 Design'!$D$8="",19,18.5)-Y48),0)+IF(Y48&lt;=IF('Mast Arm 2 Design'!$D$8="",19,21),'Mast Arm 2 Design'!$L$112*90*(IF('Mast Arm 2 Design'!$D$8="",19,21)-Y48),0)</f>
        <v>0</v>
      </c>
      <c r="Z63" s="204">
        <f>IF(Z48&lt;=IF('Mast Arm 2 Design'!$D$8="",19,18.5),'Mast Arm 1 Design'!$L$112*90*(IF('Mast Arm 2 Design'!$D$8="",19,18.5)-Z48),0)+IF(Z48&lt;=IF('Mast Arm 2 Design'!$D$8="",19,21),'Mast Arm 2 Design'!$L$112*90*(IF('Mast Arm 2 Design'!$D$8="",19,21)-Z48),0)</f>
        <v>0</v>
      </c>
      <c r="AA63" s="205">
        <f>IF(AA48&lt;=IF('Mast Arm 2 Design'!$D$8="",19,18.5),'Mast Arm 1 Design'!$L$112*90*(IF('Mast Arm 2 Design'!$D$8="",19,18.5)-AA48),0)+IF(AA48&lt;=IF('Mast Arm 2 Design'!$D$8="",19,21),'Mast Arm 2 Design'!$L$112*90*(IF('Mast Arm 2 Design'!$D$8="",19,21)-AA48),0)</f>
        <v>0</v>
      </c>
      <c r="AB63" s="203" t="e">
        <f>IF(AB48&lt;=IF('Mast Arm 2 Design'!$D$8="",19,18.5),'Mast Arm 1 Design'!$L$112*14.93,0)+IF(AB48&lt;=IF('Mast Arm 2 Design'!$D$8="",19,21),'Mast Arm 2 Design'!$L$112*14.93,0)</f>
        <v>#N/A</v>
      </c>
      <c r="AC63" s="204" t="e">
        <f>IF(AC48&lt;=IF('Mast Arm 2 Design'!$D$8="",19,18.5),'Mast Arm 1 Design'!$L$112*14.93,0)+IF(AC48&lt;=IF('Mast Arm 2 Design'!$D$8="",19,21),'Mast Arm 2 Design'!$L$112*14.93,0)</f>
        <v>#N/A</v>
      </c>
      <c r="AD63" s="204" t="e">
        <f>IF(AD48&lt;=IF('Mast Arm 2 Design'!$D$8="",19,18.5),'Mast Arm 1 Design'!$L$112*14.93,0)+IF(AD48&lt;=IF('Mast Arm 2 Design'!$D$8="",19,21),'Mast Arm 2 Design'!$L$112*14.93,0)</f>
        <v>#N/A</v>
      </c>
      <c r="AE63" s="204" t="e">
        <f>IF(AE48&lt;=IF('Mast Arm 2 Design'!$D$8="",19,18.5),'Mast Arm 1 Design'!$L$112*14.93,0)+IF(AE48&lt;=IF('Mast Arm 2 Design'!$D$8="",19,21),'Mast Arm 2 Design'!$L$112*14.93,0)</f>
        <v>#N/A</v>
      </c>
      <c r="AF63" s="204">
        <f>IF(AF48&lt;=IF('Mast Arm 2 Design'!$D$8="",19,18.5),'Mast Arm 1 Design'!$L$112*14.93,0)+IF(AF48&lt;=IF('Mast Arm 2 Design'!$D$8="",19,21),'Mast Arm 2 Design'!$L$112*14.93,0)</f>
        <v>0</v>
      </c>
      <c r="AG63" s="204">
        <f>IF(AG48&lt;=IF('Mast Arm 2 Design'!$D$8="",19,18.5),'Mast Arm 1 Design'!$L$112*14.93,0)+IF(AG48&lt;=IF('Mast Arm 2 Design'!$D$8="",19,21),'Mast Arm 2 Design'!$L$112*14.93,0)</f>
        <v>0</v>
      </c>
      <c r="AH63" s="204">
        <f>IF(AH48&lt;=IF('Mast Arm 2 Design'!$D$8="",19,18.5),'Mast Arm 1 Design'!$L$112*14.93,0)+IF(AH48&lt;=IF('Mast Arm 2 Design'!$D$8="",19,21),'Mast Arm 2 Design'!$L$112*14.93,0)</f>
        <v>0</v>
      </c>
      <c r="AI63" s="204">
        <f>IF(AI48&lt;=IF('Mast Arm 2 Design'!$D$8="",19,18.5),'Mast Arm 1 Design'!$L$112*14.93,0)+IF(AI48&lt;=IF('Mast Arm 2 Design'!$D$8="",19,21),'Mast Arm 2 Design'!$L$112*14.93,0)</f>
        <v>0</v>
      </c>
      <c r="AJ63" s="204">
        <f>IF(AJ48&lt;=IF('Mast Arm 2 Design'!$D$8="",19,18.5),'Mast Arm 1 Design'!$L$112*14.93,0)+IF(AJ48&lt;=IF('Mast Arm 2 Design'!$D$8="",19,21),'Mast Arm 2 Design'!$L$112*14.93,0)</f>
        <v>0</v>
      </c>
      <c r="AK63" s="204">
        <f>IF(AK48&lt;=IF('Mast Arm 2 Design'!$D$8="",19,18.5),'Mast Arm 1 Design'!$L$112*14.93,0)+IF(AK48&lt;=IF('Mast Arm 2 Design'!$D$8="",19,21),'Mast Arm 2 Design'!$L$112*14.93,0)</f>
        <v>0</v>
      </c>
      <c r="AL63" s="206">
        <f>IF(AL48&lt;=IF('Mast Arm 2 Design'!$D$8="",19,18.5),'Mast Arm 1 Design'!$L$112*14.93,0)+IF(AL48&lt;=IF('Mast Arm 2 Design'!$D$8="",19,21),'Mast Arm 2 Design'!$L$112*14.93,0)</f>
        <v>0</v>
      </c>
      <c r="AM63" s="203" t="e">
        <f>IF(AM48&lt;=IF('Mast Arm 2 Design'!$D$8="",19,18.5),'Mast Arm 1 Design'!$L$112*14.93*(IF('Mast Arm 2 Design'!$D$8="",19,18.5)-AM48),0)+IF(AM48&lt;=IF('Mast Arm 2 Design'!$D$8="",19,21),'Mast Arm 2 Design'!$L$112*14.93*(IF('Mast Arm 2 Design'!$D$8="",19,21)-AM48),0)</f>
        <v>#N/A</v>
      </c>
      <c r="AN63" s="204" t="e">
        <f>IF(AN48&lt;=IF('Mast Arm 2 Design'!$D$8="",19,18.5),'Mast Arm 1 Design'!$L$112*14.93*(IF('Mast Arm 2 Design'!$D$8="",19,18.5)-AN48),0)+IF(AN48&lt;=IF('Mast Arm 2 Design'!$D$8="",19,21),'Mast Arm 2 Design'!$L$112*14.93*(IF('Mast Arm 2 Design'!$D$8="",19,21)-AN48),0)</f>
        <v>#N/A</v>
      </c>
      <c r="AO63" s="204" t="e">
        <f>IF(AO48&lt;=IF('Mast Arm 2 Design'!$D$8="",19,18.5),'Mast Arm 1 Design'!$L$112*14.93*(IF('Mast Arm 2 Design'!$D$8="",19,18.5)-AO48),0)+IF(AO48&lt;=IF('Mast Arm 2 Design'!$D$8="",19,21),'Mast Arm 2 Design'!$L$112*14.93*(IF('Mast Arm 2 Design'!$D$8="",19,21)-AO48),0)</f>
        <v>#N/A</v>
      </c>
      <c r="AP63" s="204" t="e">
        <f>IF(AP48&lt;=IF('Mast Arm 2 Design'!$D$8="",19,18.5),'Mast Arm 1 Design'!$L$112*14.93*(IF('Mast Arm 2 Design'!$D$8="",19,18.5)-AP48),0)+IF(AP48&lt;=IF('Mast Arm 2 Design'!$D$8="",19,21),'Mast Arm 2 Design'!$L$112*14.93*(IF('Mast Arm 2 Design'!$D$8="",19,21)-AP48),0)</f>
        <v>#N/A</v>
      </c>
      <c r="AQ63" s="204">
        <f>IF(AQ48&lt;=IF('Mast Arm 2 Design'!$D$8="",19,18.5),'Mast Arm 1 Design'!$L$112*14.93*(IF('Mast Arm 2 Design'!$D$8="",19,18.5)-AQ48),0)+IF(AQ48&lt;=IF('Mast Arm 2 Design'!$D$8="",19,21),'Mast Arm 2 Design'!$L$112*14.93*(IF('Mast Arm 2 Design'!$D$8="",19,21)-AQ48),0)</f>
        <v>0</v>
      </c>
      <c r="AR63" s="204">
        <f>IF(AR48&lt;=IF('Mast Arm 2 Design'!$D$8="",19,18.5),'Mast Arm 1 Design'!$L$112*14.93*(IF('Mast Arm 2 Design'!$D$8="",19,18.5)-AR48),0)+IF(AR48&lt;=IF('Mast Arm 2 Design'!$D$8="",19,21),'Mast Arm 2 Design'!$L$112*14.93*(IF('Mast Arm 2 Design'!$D$8="",19,21)-AR48),0)</f>
        <v>0</v>
      </c>
      <c r="AS63" s="204">
        <f>IF(AS48&lt;=IF('Mast Arm 2 Design'!$D$8="",19,18.5),'Mast Arm 1 Design'!$L$112*14.93*(IF('Mast Arm 2 Design'!$D$8="",19,18.5)-AS48),0)+IF(AS48&lt;=IF('Mast Arm 2 Design'!$D$8="",19,21),'Mast Arm 2 Design'!$L$112*14.93*(IF('Mast Arm 2 Design'!$D$8="",19,21)-AS48),0)</f>
        <v>0</v>
      </c>
      <c r="AT63" s="204">
        <f>IF(AT48&lt;=IF('Mast Arm 2 Design'!$D$8="",19,18.5),'Mast Arm 1 Design'!$L$112*14.93*(IF('Mast Arm 2 Design'!$D$8="",19,18.5)-AT48),0)+IF(AT48&lt;=IF('Mast Arm 2 Design'!$D$8="",19,21),'Mast Arm 2 Design'!$L$112*14.93*(IF('Mast Arm 2 Design'!$D$8="",19,21)-AT48),0)</f>
        <v>0</v>
      </c>
      <c r="AU63" s="204">
        <f>IF(AU48&lt;=IF('Mast Arm 2 Design'!$D$8="",19,18.5),'Mast Arm 1 Design'!$L$112*14.93*(IF('Mast Arm 2 Design'!$D$8="",19,18.5)-AU48),0)+IF(AU48&lt;=IF('Mast Arm 2 Design'!$D$8="",19,21),'Mast Arm 2 Design'!$L$112*14.93*(IF('Mast Arm 2 Design'!$D$8="",19,21)-AU48),0)</f>
        <v>0</v>
      </c>
      <c r="AV63" s="204">
        <f>IF(AV48&lt;=IF('Mast Arm 2 Design'!$D$8="",19,18.5),'Mast Arm 1 Design'!$L$112*14.93*(IF('Mast Arm 2 Design'!$D$8="",19,18.5)-AV48),0)+IF(AV48&lt;=IF('Mast Arm 2 Design'!$D$8="",19,21),'Mast Arm 2 Design'!$L$112*14.93*(IF('Mast Arm 2 Design'!$D$8="",19,21)-AV48),0)</f>
        <v>0</v>
      </c>
      <c r="AW63" s="205">
        <f>IF(AW48&lt;=IF('Mast Arm 2 Design'!$D$8="",19,18.5),'Mast Arm 1 Design'!$L$112*14.93*(IF('Mast Arm 2 Design'!$D$8="",19,18.5)-AW48),0)+IF(AW48&lt;=IF('Mast Arm 2 Design'!$D$8="",19,21),'Mast Arm 2 Design'!$L$112*14.93*(IF('Mast Arm 2 Design'!$D$8="",19,21)-AW48),0)</f>
        <v>0</v>
      </c>
      <c r="AX63" s="203" t="e">
        <f>IF(AX48&lt;=IF('Mast Arm 2 Design'!$D$8="",19,18.5),'Mast Arm 1 Design'!$L$112*1.29,0)+IF(AX48&lt;=IF('Mast Arm 2 Design'!$D$8="",19,21),'Mast Arm 2 Design'!$L$112*1.29,0)</f>
        <v>#N/A</v>
      </c>
      <c r="AY63" s="204" t="e">
        <f>IF(AY48&lt;=IF('Mast Arm 2 Design'!$D$8="",19,18.5),'Mast Arm 1 Design'!$L$112*1.29,0)+IF(AY48&lt;=IF('Mast Arm 2 Design'!$D$8="",19,21),'Mast Arm 2 Design'!$L$112*1.29,0)</f>
        <v>#N/A</v>
      </c>
      <c r="AZ63" s="204" t="e">
        <f>IF(AZ48&lt;=IF('Mast Arm 2 Design'!$D$8="",19,18.5),'Mast Arm 1 Design'!$L$112*1.29,0)+IF(AZ48&lt;=IF('Mast Arm 2 Design'!$D$8="",19,21),'Mast Arm 2 Design'!$L$112*1.29,0)</f>
        <v>#N/A</v>
      </c>
      <c r="BA63" s="204" t="e">
        <f>IF(BA48&lt;=IF('Mast Arm 2 Design'!$D$8="",19,18.5),'Mast Arm 1 Design'!$L$112*1.29,0)+IF(BA48&lt;=IF('Mast Arm 2 Design'!$D$8="",19,21),'Mast Arm 2 Design'!$L$112*1.29,0)</f>
        <v>#N/A</v>
      </c>
      <c r="BB63" s="204">
        <f>IF(BB48&lt;=IF('Mast Arm 2 Design'!$D$8="",19,18.5),'Mast Arm 1 Design'!$L$112*1.29,0)+IF(BB48&lt;=IF('Mast Arm 2 Design'!$D$8="",19,21),'Mast Arm 2 Design'!$L$112*1.29,0)</f>
        <v>0</v>
      </c>
      <c r="BC63" s="204">
        <f>IF(BC48&lt;=IF('Mast Arm 2 Design'!$D$8="",19,18.5),'Mast Arm 1 Design'!$L$112*1.29,0)+IF(BC48&lt;=IF('Mast Arm 2 Design'!$D$8="",19,21),'Mast Arm 2 Design'!$L$112*1.29,0)</f>
        <v>0</v>
      </c>
      <c r="BD63" s="204">
        <f>IF(BD48&lt;=IF('Mast Arm 2 Design'!$D$8="",19,18.5),'Mast Arm 1 Design'!$L$112*1.29,0)+IF(BD48&lt;=IF('Mast Arm 2 Design'!$D$8="",19,21),'Mast Arm 2 Design'!$L$112*1.29,0)</f>
        <v>0</v>
      </c>
      <c r="BE63" s="204">
        <f>IF(BE48&lt;=IF('Mast Arm 2 Design'!$D$8="",19,18.5),'Mast Arm 1 Design'!$L$112*1.29,0)+IF(BE48&lt;=IF('Mast Arm 2 Design'!$D$8="",19,21),'Mast Arm 2 Design'!$L$112*1.29,0)</f>
        <v>0</v>
      </c>
      <c r="BF63" s="204">
        <f>IF(BF48&lt;=IF('Mast Arm 2 Design'!$D$8="",19,18.5),'Mast Arm 1 Design'!$L$112*1.29,0)+IF(BF48&lt;=IF('Mast Arm 2 Design'!$D$8="",19,21),'Mast Arm 2 Design'!$L$112*1.29,0)</f>
        <v>0</v>
      </c>
      <c r="BG63" s="204">
        <f>IF(BG48&lt;=IF('Mast Arm 2 Design'!$D$8="",19,18.5),'Mast Arm 1 Design'!$L$112*1.29,0)+IF(BG48&lt;=IF('Mast Arm 2 Design'!$D$8="",19,21),'Mast Arm 2 Design'!$L$112*1.29,0)</f>
        <v>0</v>
      </c>
      <c r="BH63" s="206">
        <f>IF(BH48&lt;=IF('Mast Arm 2 Design'!$D$8="",19,18.5),'Mast Arm 1 Design'!$L$112*1.29,0)+IF(BH48&lt;=IF('Mast Arm 2 Design'!$D$8="",19,21),'Mast Arm 2 Design'!$L$112*1.29,0)</f>
        <v>0</v>
      </c>
      <c r="BI63" s="203" t="e">
        <f>IF(BI48&lt;=IF('Mast Arm 2 Design'!$D$8="",19,18.5),'Mast Arm 1 Design'!$L$112*1.29*(IF('Mast Arm 2 Design'!$D$8="",19,18.5)-BI48),0)+IF(BI48&lt;=IF('Mast Arm 2 Design'!$D$8="",19,21),'Mast Arm 2 Design'!$L$112*1.29*(IF('Mast Arm 2 Design'!$D$8="",19,21)-BI48),0)</f>
        <v>#N/A</v>
      </c>
      <c r="BJ63" s="204" t="e">
        <f>IF(BJ48&lt;=IF('Mast Arm 2 Design'!$D$8="",19,18.5),'Mast Arm 1 Design'!$L$112*1.29*(IF('Mast Arm 2 Design'!$D$8="",19,18.5)-BJ48),0)+IF(BJ48&lt;=IF('Mast Arm 2 Design'!$D$8="",19,21),'Mast Arm 2 Design'!$L$112*1.29*(IF('Mast Arm 2 Design'!$D$8="",19,21)-BJ48),0)</f>
        <v>#N/A</v>
      </c>
      <c r="BK63" s="204" t="e">
        <f>IF(BK48&lt;=IF('Mast Arm 2 Design'!$D$8="",19,18.5),'Mast Arm 1 Design'!$L$112*1.29*(IF('Mast Arm 2 Design'!$D$8="",19,18.5)-BK48),0)+IF(BK48&lt;=IF('Mast Arm 2 Design'!$D$8="",19,21),'Mast Arm 2 Design'!$L$112*1.29*(IF('Mast Arm 2 Design'!$D$8="",19,21)-BK48),0)</f>
        <v>#N/A</v>
      </c>
      <c r="BL63" s="204" t="e">
        <f>IF(BL48&lt;=IF('Mast Arm 2 Design'!$D$8="",19,18.5),'Mast Arm 1 Design'!$L$112*1.29*(IF('Mast Arm 2 Design'!$D$8="",19,18.5)-BL48),0)+IF(BL48&lt;=IF('Mast Arm 2 Design'!$D$8="",19,21),'Mast Arm 2 Design'!$L$112*1.29*(IF('Mast Arm 2 Design'!$D$8="",19,21)-BL48),0)</f>
        <v>#N/A</v>
      </c>
      <c r="BM63" s="204">
        <f>IF(BM48&lt;=IF('Mast Arm 2 Design'!$D$8="",19,18.5),'Mast Arm 1 Design'!$L$112*1.29*(IF('Mast Arm 2 Design'!$D$8="",19,18.5)-BM48),0)+IF(BM48&lt;=IF('Mast Arm 2 Design'!$D$8="",19,21),'Mast Arm 2 Design'!$L$112*1.29*(IF('Mast Arm 2 Design'!$D$8="",19,21)-BM48),0)</f>
        <v>0</v>
      </c>
      <c r="BN63" s="204">
        <f>IF(BN48&lt;=IF('Mast Arm 2 Design'!$D$8="",19,18.5),'Mast Arm 1 Design'!$L$112*1.29*(IF('Mast Arm 2 Design'!$D$8="",19,18.5)-BN48),0)+IF(BN48&lt;=IF('Mast Arm 2 Design'!$D$8="",19,21),'Mast Arm 2 Design'!$L$112*1.29*(IF('Mast Arm 2 Design'!$D$8="",19,21)-BN48),0)</f>
        <v>0</v>
      </c>
      <c r="BO63" s="204">
        <f>IF(BO48&lt;=IF('Mast Arm 2 Design'!$D$8="",19,18.5),'Mast Arm 1 Design'!$L$112*1.29*(IF('Mast Arm 2 Design'!$D$8="",19,18.5)-BO48),0)+IF(BO48&lt;=IF('Mast Arm 2 Design'!$D$8="",19,21),'Mast Arm 2 Design'!$L$112*1.29*(IF('Mast Arm 2 Design'!$D$8="",19,21)-BO48),0)</f>
        <v>0</v>
      </c>
      <c r="BP63" s="204">
        <f>IF(BP48&lt;=IF('Mast Arm 2 Design'!$D$8="",19,18.5),'Mast Arm 1 Design'!$L$112*1.29*(IF('Mast Arm 2 Design'!$D$8="",19,18.5)-BP48),0)+IF(BP48&lt;=IF('Mast Arm 2 Design'!$D$8="",19,21),'Mast Arm 2 Design'!$L$112*1.29*(IF('Mast Arm 2 Design'!$D$8="",19,21)-BP48),0)</f>
        <v>0</v>
      </c>
      <c r="BQ63" s="204">
        <f>IF(BQ48&lt;=IF('Mast Arm 2 Design'!$D$8="",19,18.5),'Mast Arm 1 Design'!$L$112*1.29*(IF('Mast Arm 2 Design'!$D$8="",19,18.5)-BQ48),0)+IF(BQ48&lt;=IF('Mast Arm 2 Design'!$D$8="",19,21),'Mast Arm 2 Design'!$L$112*1.29*(IF('Mast Arm 2 Design'!$D$8="",19,21)-BQ48),0)</f>
        <v>0</v>
      </c>
      <c r="BR63" s="204">
        <f>IF(BR48&lt;=IF('Mast Arm 2 Design'!$D$8="",19,18.5),'Mast Arm 1 Design'!$L$112*1.29*(IF('Mast Arm 2 Design'!$D$8="",19,18.5)-BR48),0)+IF(BR48&lt;=IF('Mast Arm 2 Design'!$D$8="",19,21),'Mast Arm 2 Design'!$L$112*1.29*(IF('Mast Arm 2 Design'!$D$8="",19,21)-BR48),0)</f>
        <v>0</v>
      </c>
      <c r="BS63" s="206">
        <f>IF(BS48&lt;=IF('Mast Arm 2 Design'!$D$8="",19,18.5),'Mast Arm 1 Design'!$L$112*1.29*(IF('Mast Arm 2 Design'!$D$8="",19,18.5)-BS48),0)+IF(BS48&lt;=IF('Mast Arm 2 Design'!$D$8="",19,21),'Mast Arm 2 Design'!$L$112*1.29*(IF('Mast Arm 2 Design'!$D$8="",19,21)-BS48),0)</f>
        <v>0</v>
      </c>
    </row>
    <row r="64" spans="1:71" x14ac:dyDescent="0.2">
      <c r="E64" s="108" t="s">
        <v>372</v>
      </c>
      <c r="F64" s="203" t="e">
        <f>F62+F63</f>
        <v>#N/A</v>
      </c>
      <c r="G64" s="204" t="e">
        <f t="shared" ref="G64:P64" si="79">G62+G63</f>
        <v>#N/A</v>
      </c>
      <c r="H64" s="204" t="e">
        <f t="shared" si="79"/>
        <v>#N/A</v>
      </c>
      <c r="I64" s="204" t="e">
        <f t="shared" si="79"/>
        <v>#N/A</v>
      </c>
      <c r="J64" s="204" t="e">
        <f t="shared" si="79"/>
        <v>#N/A</v>
      </c>
      <c r="K64" s="204" t="e">
        <f t="shared" si="79"/>
        <v>#N/A</v>
      </c>
      <c r="L64" s="204" t="e">
        <f t="shared" si="79"/>
        <v>#N/A</v>
      </c>
      <c r="M64" s="204" t="e">
        <f t="shared" si="79"/>
        <v>#N/A</v>
      </c>
      <c r="N64" s="204" t="e">
        <f t="shared" si="79"/>
        <v>#N/A</v>
      </c>
      <c r="O64" s="204" t="e">
        <f t="shared" si="79"/>
        <v>#N/A</v>
      </c>
      <c r="P64" s="206" t="e">
        <f t="shared" si="79"/>
        <v>#N/A</v>
      </c>
      <c r="Q64" s="207" t="e">
        <f t="shared" ref="Q64" si="80">Q62+Q63</f>
        <v>#N/A</v>
      </c>
      <c r="R64" s="204" t="e">
        <f>R62+R63</f>
        <v>#N/A</v>
      </c>
      <c r="S64" s="204" t="e">
        <f t="shared" ref="S64" si="81">S62+S63</f>
        <v>#N/A</v>
      </c>
      <c r="T64" s="204" t="e">
        <f t="shared" ref="T64" si="82">T62+T63</f>
        <v>#N/A</v>
      </c>
      <c r="U64" s="204" t="e">
        <f t="shared" ref="U64" si="83">U62+U63</f>
        <v>#N/A</v>
      </c>
      <c r="V64" s="204" t="e">
        <f t="shared" ref="V64" si="84">V62+V63</f>
        <v>#N/A</v>
      </c>
      <c r="W64" s="204" t="e">
        <f t="shared" ref="W64" si="85">W62+W63</f>
        <v>#N/A</v>
      </c>
      <c r="X64" s="204" t="e">
        <f t="shared" ref="X64" si="86">X62+X63</f>
        <v>#N/A</v>
      </c>
      <c r="Y64" s="204" t="e">
        <f t="shared" ref="Y64" si="87">Y62+Y63</f>
        <v>#N/A</v>
      </c>
      <c r="Z64" s="204" t="e">
        <f t="shared" ref="Z64" si="88">Z62+Z63</f>
        <v>#N/A</v>
      </c>
      <c r="AA64" s="205" t="e">
        <f t="shared" ref="AA64" si="89">AA62+AA63</f>
        <v>#N/A</v>
      </c>
      <c r="AB64" s="203" t="e">
        <f>AB62+AB63</f>
        <v>#N/A</v>
      </c>
      <c r="AC64" s="204" t="e">
        <f t="shared" ref="AC64" si="90">AC62+AC63</f>
        <v>#N/A</v>
      </c>
      <c r="AD64" s="204" t="e">
        <f t="shared" ref="AD64" si="91">AD62+AD63</f>
        <v>#N/A</v>
      </c>
      <c r="AE64" s="204" t="e">
        <f t="shared" ref="AE64" si="92">AE62+AE63</f>
        <v>#N/A</v>
      </c>
      <c r="AF64" s="204" t="e">
        <f t="shared" ref="AF64" si="93">AF62+AF63</f>
        <v>#N/A</v>
      </c>
      <c r="AG64" s="204" t="e">
        <f t="shared" ref="AG64" si="94">AG62+AG63</f>
        <v>#N/A</v>
      </c>
      <c r="AH64" s="204" t="e">
        <f t="shared" ref="AH64" si="95">AH62+AH63</f>
        <v>#N/A</v>
      </c>
      <c r="AI64" s="204" t="e">
        <f t="shared" ref="AI64" si="96">AI62+AI63</f>
        <v>#N/A</v>
      </c>
      <c r="AJ64" s="204" t="e">
        <f t="shared" ref="AJ64" si="97">AJ62+AJ63</f>
        <v>#N/A</v>
      </c>
      <c r="AK64" s="204" t="e">
        <f t="shared" ref="AK64" si="98">AK62+AK63</f>
        <v>#N/A</v>
      </c>
      <c r="AL64" s="206" t="e">
        <f t="shared" ref="AL64" si="99">AL62+AL63</f>
        <v>#N/A</v>
      </c>
      <c r="AM64" s="207" t="e">
        <f>AM62+AM63</f>
        <v>#N/A</v>
      </c>
      <c r="AN64" s="204" t="e">
        <f t="shared" ref="AN64" si="100">AN62+AN63</f>
        <v>#N/A</v>
      </c>
      <c r="AO64" s="204" t="e">
        <f t="shared" ref="AO64" si="101">AO62+AO63</f>
        <v>#N/A</v>
      </c>
      <c r="AP64" s="204" t="e">
        <f t="shared" ref="AP64" si="102">AP62+AP63</f>
        <v>#N/A</v>
      </c>
      <c r="AQ64" s="204" t="e">
        <f t="shared" ref="AQ64" si="103">AQ62+AQ63</f>
        <v>#N/A</v>
      </c>
      <c r="AR64" s="204" t="e">
        <f t="shared" ref="AR64" si="104">AR62+AR63</f>
        <v>#N/A</v>
      </c>
      <c r="AS64" s="204" t="e">
        <f t="shared" ref="AS64" si="105">AS62+AS63</f>
        <v>#N/A</v>
      </c>
      <c r="AT64" s="204" t="e">
        <f t="shared" ref="AT64" si="106">AT62+AT63</f>
        <v>#N/A</v>
      </c>
      <c r="AU64" s="204" t="e">
        <f t="shared" ref="AU64" si="107">AU62+AU63</f>
        <v>#N/A</v>
      </c>
      <c r="AV64" s="204" t="e">
        <f t="shared" ref="AV64" si="108">AV62+AV63</f>
        <v>#N/A</v>
      </c>
      <c r="AW64" s="205" t="e">
        <f t="shared" ref="AW64" si="109">AW62+AW63</f>
        <v>#N/A</v>
      </c>
      <c r="AX64" s="203" t="e">
        <f>AX62+AX63</f>
        <v>#N/A</v>
      </c>
      <c r="AY64" s="204" t="e">
        <f t="shared" ref="AY64:BH64" si="110">AY62+AY63</f>
        <v>#N/A</v>
      </c>
      <c r="AZ64" s="204" t="e">
        <f t="shared" si="110"/>
        <v>#N/A</v>
      </c>
      <c r="BA64" s="204" t="e">
        <f t="shared" si="110"/>
        <v>#N/A</v>
      </c>
      <c r="BB64" s="204" t="e">
        <f t="shared" si="110"/>
        <v>#N/A</v>
      </c>
      <c r="BC64" s="204" t="e">
        <f t="shared" si="110"/>
        <v>#N/A</v>
      </c>
      <c r="BD64" s="204" t="e">
        <f t="shared" si="110"/>
        <v>#N/A</v>
      </c>
      <c r="BE64" s="204" t="e">
        <f t="shared" si="110"/>
        <v>#N/A</v>
      </c>
      <c r="BF64" s="204" t="e">
        <f t="shared" si="110"/>
        <v>#N/A</v>
      </c>
      <c r="BG64" s="204" t="e">
        <f t="shared" si="110"/>
        <v>#N/A</v>
      </c>
      <c r="BH64" s="206" t="e">
        <f t="shared" si="110"/>
        <v>#N/A</v>
      </c>
      <c r="BI64" s="207" t="e">
        <f>BI62+BI63</f>
        <v>#N/A</v>
      </c>
      <c r="BJ64" s="204" t="e">
        <f t="shared" ref="BJ64:BS64" si="111">BJ62+BJ63</f>
        <v>#N/A</v>
      </c>
      <c r="BK64" s="204" t="e">
        <f t="shared" si="111"/>
        <v>#N/A</v>
      </c>
      <c r="BL64" s="204" t="e">
        <f t="shared" si="111"/>
        <v>#N/A</v>
      </c>
      <c r="BM64" s="204" t="e">
        <f t="shared" si="111"/>
        <v>#N/A</v>
      </c>
      <c r="BN64" s="204" t="e">
        <f t="shared" si="111"/>
        <v>#N/A</v>
      </c>
      <c r="BO64" s="204" t="e">
        <f t="shared" si="111"/>
        <v>#N/A</v>
      </c>
      <c r="BP64" s="204" t="e">
        <f t="shared" si="111"/>
        <v>#N/A</v>
      </c>
      <c r="BQ64" s="204" t="e">
        <f t="shared" si="111"/>
        <v>#N/A</v>
      </c>
      <c r="BR64" s="204" t="e">
        <f t="shared" si="111"/>
        <v>#N/A</v>
      </c>
      <c r="BS64" s="206" t="e">
        <f t="shared" si="111"/>
        <v>#N/A</v>
      </c>
    </row>
    <row r="65" spans="5:71" ht="13.5" thickBot="1" x14ac:dyDescent="0.25">
      <c r="E65" s="108" t="s">
        <v>305</v>
      </c>
      <c r="F65" s="190" t="e">
        <f>IF(F64=0,"NA",F61/F64)</f>
        <v>#N/A</v>
      </c>
      <c r="G65" s="191" t="e">
        <f t="shared" ref="G65:P65" si="112">IF(G64=0,"NA",G61/G64)</f>
        <v>#N/A</v>
      </c>
      <c r="H65" s="191" t="e">
        <f t="shared" si="112"/>
        <v>#N/A</v>
      </c>
      <c r="I65" s="191" t="e">
        <f>IF(I64=0,"NA",I61/I64)</f>
        <v>#N/A</v>
      </c>
      <c r="J65" s="191" t="e">
        <f>IF(J64=0,"NA",J61/J64)</f>
        <v>#N/A</v>
      </c>
      <c r="K65" s="191" t="e">
        <f t="shared" si="112"/>
        <v>#N/A</v>
      </c>
      <c r="L65" s="191" t="e">
        <f>IF(L64=0,"NA",L61/L64)</f>
        <v>#N/A</v>
      </c>
      <c r="M65" s="191" t="e">
        <f t="shared" si="112"/>
        <v>#N/A</v>
      </c>
      <c r="N65" s="191" t="e">
        <f t="shared" si="112"/>
        <v>#N/A</v>
      </c>
      <c r="O65" s="191" t="e">
        <f t="shared" si="112"/>
        <v>#N/A</v>
      </c>
      <c r="P65" s="192" t="e">
        <f t="shared" si="112"/>
        <v>#N/A</v>
      </c>
      <c r="Q65" s="197" t="e">
        <f>IF(Q64=0,"NA",Q61/Q64)</f>
        <v>#N/A</v>
      </c>
      <c r="R65" s="191" t="e">
        <f>IF(R64=0,"NA",R61/R64)</f>
        <v>#N/A</v>
      </c>
      <c r="S65" s="191" t="e">
        <f t="shared" ref="S65:AA65" si="113">IF(S64=0,"NA",S61/S64)</f>
        <v>#N/A</v>
      </c>
      <c r="T65" s="191" t="e">
        <f t="shared" si="113"/>
        <v>#N/A</v>
      </c>
      <c r="U65" s="191" t="e">
        <f t="shared" si="113"/>
        <v>#N/A</v>
      </c>
      <c r="V65" s="191" t="e">
        <f t="shared" si="113"/>
        <v>#N/A</v>
      </c>
      <c r="W65" s="191" t="e">
        <f t="shared" si="113"/>
        <v>#N/A</v>
      </c>
      <c r="X65" s="191" t="e">
        <f t="shared" si="113"/>
        <v>#N/A</v>
      </c>
      <c r="Y65" s="191" t="e">
        <f t="shared" si="113"/>
        <v>#N/A</v>
      </c>
      <c r="Z65" s="191" t="e">
        <f t="shared" si="113"/>
        <v>#N/A</v>
      </c>
      <c r="AA65" s="198" t="e">
        <f t="shared" si="113"/>
        <v>#N/A</v>
      </c>
      <c r="AB65" s="190" t="e">
        <f>IF(AB64=0,"NA",AB61/AB64)</f>
        <v>#N/A</v>
      </c>
      <c r="AC65" s="191" t="e">
        <f t="shared" ref="AC65" si="114">IF(AC64=0,"NA",AC61/AC64)</f>
        <v>#N/A</v>
      </c>
      <c r="AD65" s="191" t="e">
        <f t="shared" ref="AD65" si="115">IF(AD64=0,"NA",AD61/AD64)</f>
        <v>#N/A</v>
      </c>
      <c r="AE65" s="191" t="e">
        <f t="shared" ref="AE65" si="116">IF(AE64=0,"NA",AE61/AE64)</f>
        <v>#N/A</v>
      </c>
      <c r="AF65" s="191" t="e">
        <f t="shared" ref="AF65" si="117">IF(AF64=0,"NA",AF61/AF64)</f>
        <v>#N/A</v>
      </c>
      <c r="AG65" s="191" t="e">
        <f t="shared" ref="AG65" si="118">IF(AG64=0,"NA",AG61/AG64)</f>
        <v>#N/A</v>
      </c>
      <c r="AH65" s="191" t="e">
        <f t="shared" ref="AH65" si="119">IF(AH64=0,"NA",AH61/AH64)</f>
        <v>#N/A</v>
      </c>
      <c r="AI65" s="191" t="e">
        <f t="shared" ref="AI65" si="120">IF(AI64=0,"NA",AI61/AI64)</f>
        <v>#N/A</v>
      </c>
      <c r="AJ65" s="191" t="e">
        <f t="shared" ref="AJ65" si="121">IF(AJ64=0,"NA",AJ61/AJ64)</f>
        <v>#N/A</v>
      </c>
      <c r="AK65" s="191" t="e">
        <f t="shared" ref="AK65" si="122">IF(AK64=0,"NA",AK61/AK64)</f>
        <v>#N/A</v>
      </c>
      <c r="AL65" s="192" t="e">
        <f t="shared" ref="AL65:AM65" si="123">IF(AL64=0,"NA",AL61/AL64)</f>
        <v>#N/A</v>
      </c>
      <c r="AM65" s="197" t="e">
        <f t="shared" si="123"/>
        <v>#N/A</v>
      </c>
      <c r="AN65" s="191" t="e">
        <f t="shared" ref="AN65" si="124">IF(AN64=0,"NA",AN61/AN64)</f>
        <v>#N/A</v>
      </c>
      <c r="AO65" s="191" t="e">
        <f t="shared" ref="AO65" si="125">IF(AO64=0,"NA",AO61/AO64)</f>
        <v>#N/A</v>
      </c>
      <c r="AP65" s="191" t="e">
        <f t="shared" ref="AP65" si="126">IF(AP64=0,"NA",AP61/AP64)</f>
        <v>#N/A</v>
      </c>
      <c r="AQ65" s="191" t="e">
        <f t="shared" ref="AQ65" si="127">IF(AQ64=0,"NA",AQ61/AQ64)</f>
        <v>#N/A</v>
      </c>
      <c r="AR65" s="191" t="e">
        <f t="shared" ref="AR65" si="128">IF(AR64=0,"NA",AR61/AR64)</f>
        <v>#N/A</v>
      </c>
      <c r="AS65" s="191" t="e">
        <f t="shared" ref="AS65" si="129">IF(AS64=0,"NA",AS61/AS64)</f>
        <v>#N/A</v>
      </c>
      <c r="AT65" s="191" t="e">
        <f t="shared" ref="AT65" si="130">IF(AT64=0,"NA",AT61/AT64)</f>
        <v>#N/A</v>
      </c>
      <c r="AU65" s="191" t="e">
        <f t="shared" ref="AU65" si="131">IF(AU64=0,"NA",AU61/AU64)</f>
        <v>#N/A</v>
      </c>
      <c r="AV65" s="191" t="e">
        <f t="shared" ref="AV65" si="132">IF(AV64=0,"NA",AV61/AV64)</f>
        <v>#N/A</v>
      </c>
      <c r="AW65" s="198" t="e">
        <f t="shared" ref="AW65:AX65" si="133">IF(AW64=0,"NA",AW61/AW64)</f>
        <v>#N/A</v>
      </c>
      <c r="AX65" s="190" t="e">
        <f t="shared" si="133"/>
        <v>#N/A</v>
      </c>
      <c r="AY65" s="191" t="e">
        <f t="shared" ref="AY65" si="134">IF(AY64=0,"NA",AY61/AY64)</f>
        <v>#N/A</v>
      </c>
      <c r="AZ65" s="191" t="e">
        <f t="shared" ref="AZ65" si="135">IF(AZ64=0,"NA",AZ61/AZ64)</f>
        <v>#N/A</v>
      </c>
      <c r="BA65" s="191" t="e">
        <f t="shared" ref="BA65" si="136">IF(BA64=0,"NA",BA61/BA64)</f>
        <v>#N/A</v>
      </c>
      <c r="BB65" s="191" t="e">
        <f t="shared" ref="BB65" si="137">IF(BB64=0,"NA",BB61/BB64)</f>
        <v>#N/A</v>
      </c>
      <c r="BC65" s="191" t="e">
        <f t="shared" ref="BC65" si="138">IF(BC64=0,"NA",BC61/BC64)</f>
        <v>#N/A</v>
      </c>
      <c r="BD65" s="191" t="e">
        <f t="shared" ref="BD65" si="139">IF(BD64=0,"NA",BD61/BD64)</f>
        <v>#N/A</v>
      </c>
      <c r="BE65" s="191" t="e">
        <f t="shared" ref="BE65" si="140">IF(BE64=0,"NA",BE61/BE64)</f>
        <v>#N/A</v>
      </c>
      <c r="BF65" s="191" t="e">
        <f t="shared" ref="BF65" si="141">IF(BF64=0,"NA",BF61/BF64)</f>
        <v>#N/A</v>
      </c>
      <c r="BG65" s="191" t="e">
        <f t="shared" ref="BG65" si="142">IF(BG64=0,"NA",BG61/BG64)</f>
        <v>#N/A</v>
      </c>
      <c r="BH65" s="192" t="e">
        <f t="shared" ref="BH65" si="143">IF(BH64=0,"NA",BH61/BH64)</f>
        <v>#N/A</v>
      </c>
      <c r="BI65" s="197" t="e">
        <f>IF(BI64=0,"NA",BI61/BI64)</f>
        <v>#N/A</v>
      </c>
      <c r="BJ65" s="191" t="e">
        <f t="shared" ref="BJ65:BS65" si="144">IF(BJ64=0,"NA",BJ61/BJ64)</f>
        <v>#N/A</v>
      </c>
      <c r="BK65" s="191" t="e">
        <f t="shared" si="144"/>
        <v>#N/A</v>
      </c>
      <c r="BL65" s="191" t="e">
        <f t="shared" si="144"/>
        <v>#N/A</v>
      </c>
      <c r="BM65" s="191" t="e">
        <f t="shared" si="144"/>
        <v>#N/A</v>
      </c>
      <c r="BN65" s="191" t="e">
        <f>IF(BN64=0,"NA",BN61/BN64)</f>
        <v>#N/A</v>
      </c>
      <c r="BO65" s="191" t="e">
        <f t="shared" si="144"/>
        <v>#N/A</v>
      </c>
      <c r="BP65" s="191" t="e">
        <f t="shared" si="144"/>
        <v>#N/A</v>
      </c>
      <c r="BQ65" s="191" t="e">
        <f t="shared" si="144"/>
        <v>#N/A</v>
      </c>
      <c r="BR65" s="191" t="e">
        <f t="shared" si="144"/>
        <v>#N/A</v>
      </c>
      <c r="BS65" s="192" t="e">
        <f t="shared" si="144"/>
        <v>#N/A</v>
      </c>
    </row>
    <row r="67" spans="5:71" x14ac:dyDescent="0.2">
      <c r="L67"/>
      <c r="M67"/>
    </row>
  </sheetData>
  <sheetProtection algorithmName="SHA-512" hashValue="VPOJpKXa7NzQ/uJwUtrIlRKtMJls4ckjrqfesAg2Zie6kA/uGznQyv0McqsV/Ux7r4f9AoxK+6+F5Z7oIFx2Ag==" saltValue="6CT3OKThECvNp1uTfxydFg==" spinCount="100000" sheet="1" objects="1" scenarios="1" formatCells="0"/>
  <mergeCells count="20">
    <mergeCell ref="D12:F12"/>
    <mergeCell ref="AA6:AE6"/>
    <mergeCell ref="AH6:AL6"/>
    <mergeCell ref="Q6:W6"/>
    <mergeCell ref="F1:G1"/>
    <mergeCell ref="F2:G2"/>
    <mergeCell ref="H2:I2"/>
    <mergeCell ref="L3:N3"/>
    <mergeCell ref="H1:N1"/>
    <mergeCell ref="B43:D43"/>
    <mergeCell ref="E43:G43"/>
    <mergeCell ref="H43:J43"/>
    <mergeCell ref="K43:L43"/>
    <mergeCell ref="M43:N43"/>
    <mergeCell ref="BI46:BS46"/>
    <mergeCell ref="F46:P46"/>
    <mergeCell ref="Q46:AA46"/>
    <mergeCell ref="AB46:AL46"/>
    <mergeCell ref="AM46:AW46"/>
    <mergeCell ref="AX46:BH46"/>
  </mergeCells>
  <phoneticPr fontId="7" type="noConversion"/>
  <conditionalFormatting sqref="B17:B26">
    <cfRule type="cellIs" dxfId="16" priority="1" operator="greaterThan">
      <formula>$D$13+5</formula>
    </cfRule>
  </conditionalFormatting>
  <conditionalFormatting sqref="C17:C26">
    <cfRule type="containsText" dxfId="15" priority="3" operator="containsText" text="&quot;Dist. &gt; Arm Length&quot;">
      <formula>NOT(ISERROR(SEARCH("""Dist. &gt; Arm Length""",C17)))</formula>
    </cfRule>
  </conditionalFormatting>
  <conditionalFormatting sqref="D9">
    <cfRule type="containsText" dxfId="14" priority="2" operator="containsText" text="I">
      <formula>NOT(ISERROR(SEARCH("I",D9)))</formula>
    </cfRule>
  </conditionalFormatting>
  <dataValidations count="2">
    <dataValidation type="list" showInputMessage="1" showErrorMessage="1" sqref="D8" xr:uid="{00000000-0002-0000-0400-000001000000}">
      <formula1>$Q$8:$Q$9</formula1>
    </dataValidation>
    <dataValidation type="list" showInputMessage="1" showErrorMessage="1" sqref="D9" xr:uid="{51FD6A6C-18DE-4461-BA67-CBB450EB445E}">
      <formula1>$AG$8:$AG$12</formula1>
    </dataValidation>
  </dataValidations>
  <pageMargins left="0.7" right="0.7" top="0.75" bottom="0.75" header="0.3" footer="0.3"/>
  <pageSetup scale="64" firstPageNumber="0" fitToHeight="0" orientation="landscape" r:id="rId1"/>
  <extLst>
    <ext xmlns:x14="http://schemas.microsoft.com/office/spreadsheetml/2009/9/main" uri="{CCE6A557-97BC-4b89-ADB6-D9C93CAAB3DF}">
      <x14:dataValidations xmlns:xm="http://schemas.microsoft.com/office/excel/2006/main" count="1">
        <x14:dataValidation type="list" showErrorMessage="1" xr:uid="{6E4A2C34-819C-4CC7-ADBB-2978C498DE75}">
          <x14:formula1>
            <xm:f>'Equipment Wt &amp; Ht'!$A$3:$A$36</xm:f>
          </x14:formula1>
          <xm:sqref>C17:C26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A35F-8246-47B1-8381-9B3CA9D9651D}">
  <sheetPr codeName="Sheet6">
    <tabColor indexed="13"/>
  </sheetPr>
  <dimension ref="A1:AL50"/>
  <sheetViews>
    <sheetView zoomScaleNormal="100" zoomScaleSheetLayoutView="100" workbookViewId="0">
      <selection activeCell="H11" sqref="H11"/>
    </sheetView>
  </sheetViews>
  <sheetFormatPr defaultRowHeight="12.75" x14ac:dyDescent="0.2"/>
  <cols>
    <col min="1" max="1" width="12.140625" customWidth="1"/>
    <col min="2" max="2" width="27" bestFit="1" customWidth="1"/>
    <col min="3" max="3" width="16.5703125" customWidth="1"/>
    <col min="4" max="4" width="13.5703125" customWidth="1"/>
    <col min="5" max="5" width="12.7109375" customWidth="1"/>
    <col min="6" max="6" width="13" customWidth="1"/>
    <col min="7" max="7" width="10.42578125" customWidth="1"/>
    <col min="8" max="8" width="13.5703125" customWidth="1"/>
    <col min="9" max="9" width="14" customWidth="1"/>
    <col min="10" max="11" width="12.7109375" customWidth="1"/>
    <col min="12" max="12" width="12.7109375" style="1" customWidth="1"/>
    <col min="13" max="13" width="12.85546875" style="2" customWidth="1"/>
    <col min="14" max="14" width="19.140625" customWidth="1"/>
    <col min="15" max="15" width="13.28515625" customWidth="1"/>
    <col min="16" max="16" width="18.42578125" bestFit="1" customWidth="1"/>
    <col min="17" max="17" width="22.5703125" bestFit="1" customWidth="1"/>
    <col min="18" max="18" width="8" bestFit="1" customWidth="1"/>
    <col min="19" max="19" width="9" bestFit="1" customWidth="1"/>
    <col min="20" max="21" width="7.5703125" bestFit="1" customWidth="1"/>
    <col min="22" max="22" width="9.42578125" customWidth="1"/>
    <col min="23" max="23" width="31.42578125" bestFit="1" customWidth="1"/>
    <col min="24" max="24" width="8" bestFit="1" customWidth="1"/>
    <col min="25" max="25" width="9" bestFit="1" customWidth="1"/>
    <col min="26" max="26" width="7.5703125" bestFit="1" customWidth="1"/>
    <col min="27" max="27" width="10.28515625" bestFit="1" customWidth="1"/>
    <col min="28" max="28" width="7" bestFit="1" customWidth="1"/>
    <col min="29" max="29" width="22.5703125" bestFit="1" customWidth="1"/>
    <col min="30" max="30" width="7.85546875" bestFit="1" customWidth="1"/>
    <col min="31" max="31" width="8.85546875" bestFit="1" customWidth="1"/>
    <col min="32" max="32" width="5.28515625" bestFit="1" customWidth="1"/>
    <col min="33" max="33" width="6.140625" bestFit="1" customWidth="1"/>
    <col min="34" max="34" width="10.5703125" customWidth="1"/>
    <col min="35" max="35" width="22.5703125" bestFit="1" customWidth="1"/>
    <col min="36" max="36" width="7.85546875" bestFit="1" customWidth="1"/>
    <col min="37" max="37" width="8.85546875" bestFit="1" customWidth="1"/>
    <col min="38" max="38" width="5.28515625" bestFit="1" customWidth="1"/>
    <col min="39" max="39" width="6.140625" bestFit="1" customWidth="1"/>
    <col min="41" max="41" width="22.5703125" bestFit="1" customWidth="1"/>
    <col min="47" max="47" width="22.5703125" bestFit="1" customWidth="1"/>
    <col min="48" max="48" width="7.85546875" bestFit="1" customWidth="1"/>
    <col min="49" max="49" width="8.85546875" bestFit="1" customWidth="1"/>
    <col min="50" max="50" width="5.28515625" bestFit="1" customWidth="1"/>
    <col min="51" max="51" width="6.140625" bestFit="1" customWidth="1"/>
    <col min="53" max="53" width="22.5703125" bestFit="1" customWidth="1"/>
  </cols>
  <sheetData>
    <row r="1" spans="1:38" s="3" customFormat="1" ht="15.75" x14ac:dyDescent="0.25">
      <c r="A1" s="3" t="s">
        <v>293</v>
      </c>
      <c r="F1" s="278" t="s">
        <v>0</v>
      </c>
      <c r="G1" s="278"/>
      <c r="H1" s="279" t="str">
        <f>IF('Mast Arm 1 Design'!H1="","",'Mast Arm 1 Design'!H1)</f>
        <v/>
      </c>
      <c r="I1" s="279"/>
      <c r="J1" s="279"/>
      <c r="K1" s="279"/>
      <c r="L1" s="279"/>
      <c r="M1" s="279"/>
      <c r="N1" s="279"/>
      <c r="O1" s="279"/>
      <c r="P1" s="240"/>
      <c r="Q1" s="240"/>
      <c r="R1" s="16"/>
      <c r="S1" s="16"/>
      <c r="T1" s="16"/>
      <c r="U1" s="16"/>
      <c r="V1" s="16"/>
      <c r="W1" s="16"/>
    </row>
    <row r="2" spans="1:38" ht="16.5" thickBot="1" x14ac:dyDescent="0.25">
      <c r="A2" t="s">
        <v>1</v>
      </c>
      <c r="F2" s="278" t="s">
        <v>2</v>
      </c>
      <c r="G2" s="278"/>
      <c r="H2" s="279" t="str">
        <f>IF('Mast Arm 1 Design'!H2="","",'Mast Arm 1 Design'!H2)</f>
        <v/>
      </c>
      <c r="I2" s="279"/>
      <c r="J2" s="242"/>
      <c r="K2" s="17"/>
      <c r="L2" s="243"/>
      <c r="M2" s="238"/>
      <c r="N2" s="17"/>
      <c r="O2" s="17"/>
      <c r="P2" s="17"/>
      <c r="Q2" s="17"/>
    </row>
    <row r="3" spans="1:38" ht="15.75" thickBot="1" x14ac:dyDescent="0.3">
      <c r="B3" s="4"/>
      <c r="M3" s="280" t="s">
        <v>179</v>
      </c>
      <c r="N3" s="281"/>
      <c r="O3" s="282"/>
    </row>
    <row r="4" spans="1:38" ht="15.75" thickBot="1" x14ac:dyDescent="0.3">
      <c r="B4" s="4"/>
      <c r="M4" s="67" t="s">
        <v>180</v>
      </c>
      <c r="N4" s="68" t="s">
        <v>181</v>
      </c>
      <c r="O4" s="69" t="s">
        <v>182</v>
      </c>
    </row>
    <row r="5" spans="1:38" ht="15.75" x14ac:dyDescent="0.25">
      <c r="A5" s="3"/>
      <c r="B5" s="4"/>
      <c r="M5" s="70" t="s">
        <v>183</v>
      </c>
      <c r="N5" s="71"/>
      <c r="O5" s="72"/>
    </row>
    <row r="6" spans="1:38" ht="16.5" thickBot="1" x14ac:dyDescent="0.3">
      <c r="A6" s="3" t="s">
        <v>131</v>
      </c>
      <c r="M6" s="73" t="s">
        <v>184</v>
      </c>
      <c r="N6" s="74"/>
      <c r="O6" s="75"/>
    </row>
    <row r="7" spans="1:38" x14ac:dyDescent="0.2">
      <c r="B7" s="5" t="s">
        <v>27</v>
      </c>
      <c r="C7" s="287" t="str">
        <f>IF(C17="N/A","N/A",IF(D25="ALL PASS",CONCATENATE("CAT ",C15," ",C16,"ft Arm"),"SPECIAL DESIGN REQUIRED"))</f>
        <v>N/A</v>
      </c>
      <c r="D7" s="288"/>
      <c r="E7" s="289"/>
    </row>
    <row r="8" spans="1:38" x14ac:dyDescent="0.2">
      <c r="B8" s="5" t="s">
        <v>28</v>
      </c>
      <c r="C8" s="290" t="str">
        <f>IF(C30="N/A","N/A",IF(D38="ALL PASS",CONCATENATE("CAT ",C28," ",C29,"ft Arm"),"SPECIAL DESIGN REQUIRED"))</f>
        <v>N/A</v>
      </c>
      <c r="D8" s="291"/>
      <c r="E8" s="292"/>
    </row>
    <row r="9" spans="1:38" ht="13.5" thickBot="1" x14ac:dyDescent="0.25">
      <c r="B9" s="5" t="s">
        <v>110</v>
      </c>
      <c r="C9" s="293" t="e">
        <f>IF(C43="N/A","N/A",IF(D50="ALL PASS",CONCATENATE("CAT ",C41," ",C42,"ft Pole"),"SPECIAL DESIGN REQUIRED"))</f>
        <v>#N/A</v>
      </c>
      <c r="D9" s="294"/>
      <c r="E9" s="295"/>
    </row>
    <row r="10" spans="1:38" ht="15.75" x14ac:dyDescent="0.25">
      <c r="A10" s="3"/>
    </row>
    <row r="11" spans="1:38" ht="15.75" x14ac:dyDescent="0.25">
      <c r="A11" s="3"/>
    </row>
    <row r="12" spans="1:38" ht="15.75" x14ac:dyDescent="0.25">
      <c r="A12" s="3" t="s">
        <v>105</v>
      </c>
      <c r="B12" s="4"/>
      <c r="R12" s="284"/>
      <c r="S12" s="284"/>
      <c r="T12" s="284"/>
      <c r="U12" s="284"/>
      <c r="V12" s="284"/>
      <c r="W12" s="284"/>
      <c r="X12" s="284"/>
      <c r="Y12" s="20"/>
      <c r="Z12" s="20"/>
      <c r="AA12" s="20"/>
      <c r="AB12" s="284"/>
      <c r="AC12" s="284"/>
      <c r="AD12" s="284"/>
      <c r="AE12" s="284"/>
      <c r="AF12" s="284"/>
      <c r="AG12" s="20"/>
      <c r="AH12" s="284"/>
      <c r="AI12" s="284"/>
      <c r="AJ12" s="284"/>
      <c r="AK12" s="284"/>
      <c r="AL12" s="284"/>
    </row>
    <row r="13" spans="1:38" ht="15.75" x14ac:dyDescent="0.25">
      <c r="A13" s="108" t="s">
        <v>350</v>
      </c>
      <c r="B13" s="52" t="s">
        <v>351</v>
      </c>
      <c r="R13" s="284"/>
      <c r="S13" s="284"/>
      <c r="T13" s="284"/>
      <c r="U13" s="284"/>
      <c r="V13" s="284"/>
      <c r="W13" s="284"/>
      <c r="X13" s="284"/>
      <c r="Y13" s="20"/>
      <c r="Z13" s="20"/>
      <c r="AA13" s="20"/>
      <c r="AB13" s="284"/>
      <c r="AC13" s="284"/>
      <c r="AD13" s="284"/>
      <c r="AE13" s="284"/>
      <c r="AF13" s="284"/>
      <c r="AG13" s="20"/>
      <c r="AH13" s="284"/>
      <c r="AI13" s="284"/>
      <c r="AJ13" s="284"/>
      <c r="AK13" s="284"/>
      <c r="AL13" s="284"/>
    </row>
    <row r="14" spans="1:38" ht="15.75" x14ac:dyDescent="0.25">
      <c r="A14" s="228"/>
      <c r="B14" s="4"/>
      <c r="R14" s="284"/>
      <c r="S14" s="284"/>
      <c r="T14" s="284"/>
      <c r="U14" s="284"/>
      <c r="V14" s="284"/>
      <c r="W14" s="284"/>
      <c r="X14" s="284"/>
      <c r="Y14" s="20"/>
      <c r="Z14" s="20"/>
      <c r="AA14" s="20"/>
      <c r="AB14" s="284"/>
      <c r="AC14" s="284"/>
      <c r="AD14" s="284"/>
      <c r="AE14" s="284"/>
      <c r="AF14" s="284"/>
      <c r="AG14" s="20"/>
      <c r="AH14" s="284"/>
      <c r="AI14" s="284"/>
      <c r="AJ14" s="284"/>
      <c r="AK14" s="284"/>
      <c r="AL14" s="284"/>
    </row>
    <row r="15" spans="1:38" ht="15.75" x14ac:dyDescent="0.25">
      <c r="A15" s="3"/>
      <c r="B15" s="5" t="s">
        <v>128</v>
      </c>
      <c r="C15" s="39" t="str">
        <f>'Mast Arm 1 Design'!D7</f>
        <v>I</v>
      </c>
      <c r="D15" s="6"/>
      <c r="R15" s="284"/>
      <c r="S15" s="284"/>
      <c r="T15" s="284"/>
      <c r="U15" s="284"/>
      <c r="V15" s="284"/>
      <c r="W15" s="284"/>
      <c r="X15" s="284"/>
      <c r="Y15" s="20"/>
      <c r="Z15" s="20"/>
      <c r="AA15" s="20"/>
      <c r="AB15" s="284"/>
      <c r="AC15" s="284"/>
      <c r="AD15" s="284"/>
      <c r="AE15" s="284"/>
      <c r="AF15" s="284"/>
      <c r="AG15" s="20"/>
      <c r="AH15" s="284"/>
      <c r="AI15" s="284"/>
      <c r="AJ15" s="284"/>
      <c r="AK15" s="284"/>
      <c r="AL15" s="284"/>
    </row>
    <row r="16" spans="1:38" ht="15.75" x14ac:dyDescent="0.25">
      <c r="B16" s="5" t="s">
        <v>124</v>
      </c>
      <c r="C16" s="18">
        <f>'Mast Arm 1 Design'!D8</f>
        <v>0</v>
      </c>
      <c r="D16" s="6" t="s">
        <v>6</v>
      </c>
      <c r="J16" s="5" t="str">
        <f>IF(OR(D19="FAIL",D20="FAIL",D21="FAIL",D22="FAIL",D23="FAIL",D24="FAIL"),"Smallest Passing Arm 1 Length","")</f>
        <v/>
      </c>
      <c r="K16" s="40">
        <f>IF(D25="ALL PASS","",IF('Mast Arm 1 Design'!G106=0,"",'Mast Arm 1 Design'!G106))</f>
        <v>25</v>
      </c>
      <c r="L16" s="6" t="s">
        <v>6</v>
      </c>
      <c r="N16" s="2"/>
      <c r="O16" s="8"/>
      <c r="R16" s="284"/>
      <c r="S16" s="284"/>
      <c r="T16" s="284"/>
      <c r="U16" s="284"/>
      <c r="V16" s="284"/>
      <c r="W16" s="284"/>
      <c r="X16" s="284"/>
      <c r="Y16" s="20"/>
      <c r="Z16" s="20"/>
      <c r="AA16" s="20"/>
      <c r="AB16" s="284"/>
      <c r="AC16" s="284"/>
      <c r="AD16" s="284"/>
      <c r="AE16" s="284"/>
      <c r="AF16" s="284"/>
      <c r="AG16" s="20"/>
      <c r="AH16" s="284"/>
      <c r="AI16" s="284"/>
      <c r="AJ16" s="284"/>
      <c r="AK16" s="284"/>
      <c r="AL16" s="284"/>
    </row>
    <row r="17" spans="2:38" ht="15.75" x14ac:dyDescent="0.25">
      <c r="B17" s="5" t="s">
        <v>126</v>
      </c>
      <c r="C17" s="286" t="str">
        <f>IF(C16=0,"N/A",IF('Mast Arm 1 Design'!$D$10="N/A",'Mast Arm 1 Design'!$D$9,CONCATENATE('Mast Arm 1 Design'!$D$9,"; ",'Mast Arm 1 Design'!$D$10)))</f>
        <v>N/A</v>
      </c>
      <c r="D17" s="286"/>
      <c r="E17" s="286"/>
      <c r="F17" s="286"/>
      <c r="J17" s="5" t="str">
        <f>IF(OR(D19="FAIL",D20="FAIL",D21="FAIL",D22="FAIL",D23="FAIL",D24="FAIL"),"Smallest Passing Arm 1 Member Size","")</f>
        <v/>
      </c>
      <c r="K17" s="286" t="str">
        <f>IF(D25="ALL PASS","",IF('Mast Arm 1 Design'!G106=0,"None Pass",VLOOKUP(K16,IF(C15="I",'Mast Arm Geometry Tables'!$A$4:$E$10,IF(C15="II",'Mast Arm Geometry Tables'!$H$4:$L$10,'Mast Arm Geometry Tables'!N4:R10)),5,0)))</f>
        <v>0.1793"-16.5" x 13.00" x 25'-0"</v>
      </c>
      <c r="L17" s="286"/>
      <c r="M17" s="286"/>
      <c r="N17" s="286"/>
      <c r="O17" s="8"/>
      <c r="R17" s="284"/>
      <c r="S17" s="284"/>
      <c r="T17" s="284"/>
      <c r="U17" s="284"/>
      <c r="V17" s="284"/>
      <c r="W17" s="284"/>
      <c r="X17" s="284"/>
      <c r="Y17" s="20"/>
      <c r="Z17" s="20"/>
      <c r="AA17" s="20"/>
      <c r="AB17" s="284"/>
      <c r="AC17" s="284"/>
      <c r="AD17" s="284"/>
      <c r="AE17" s="284"/>
      <c r="AF17" s="284"/>
      <c r="AG17" s="20"/>
      <c r="AH17" s="284"/>
      <c r="AI17" s="284"/>
      <c r="AJ17" s="284"/>
      <c r="AK17" s="284"/>
      <c r="AL17" s="284"/>
    </row>
    <row r="18" spans="2:38" ht="15.75" x14ac:dyDescent="0.25">
      <c r="B18" s="5"/>
      <c r="C18" s="27" t="s">
        <v>360</v>
      </c>
      <c r="K18" s="27" t="s">
        <v>360</v>
      </c>
      <c r="L18"/>
      <c r="M18"/>
      <c r="O18" s="8"/>
      <c r="R18" s="284"/>
      <c r="S18" s="284"/>
      <c r="T18" s="284"/>
      <c r="U18" s="284"/>
      <c r="V18" s="284"/>
      <c r="W18" s="284"/>
      <c r="X18" s="284"/>
      <c r="Y18" s="20"/>
      <c r="Z18" s="20"/>
      <c r="AA18" s="20"/>
      <c r="AB18" s="284"/>
      <c r="AC18" s="284"/>
      <c r="AD18" s="284"/>
      <c r="AE18" s="284"/>
      <c r="AF18" s="284"/>
      <c r="AG18" s="20"/>
      <c r="AH18" s="284"/>
      <c r="AI18" s="284"/>
      <c r="AJ18" s="284"/>
      <c r="AK18" s="284"/>
      <c r="AL18" s="284"/>
    </row>
    <row r="19" spans="2:38" ht="15.75" x14ac:dyDescent="0.25">
      <c r="B19" s="5" t="s">
        <v>4</v>
      </c>
      <c r="C19" s="171" t="e">
        <f>MAX('Mast Arm 1 Design'!$F$79:$P$79)</f>
        <v>#N/A</v>
      </c>
      <c r="D19" s="50" t="str">
        <f t="shared" ref="D19:D24" si="0">IF($C$16=0,"",IF(C19&lt;=1,"PASS","FAIL"))</f>
        <v/>
      </c>
      <c r="J19" s="5" t="s">
        <v>4</v>
      </c>
      <c r="K19" s="171">
        <f>IF($K$16="","",VLOOKUP($K$16,'Mast Arm 1 Design'!$G$97:$H$102,2,0))</f>
        <v>0</v>
      </c>
      <c r="L19" s="50" t="str">
        <f>IF($K$16="","",IF(K19&lt;=1,"PASS","FAIL"))</f>
        <v>PASS</v>
      </c>
      <c r="O19" s="8"/>
      <c r="R19" s="284"/>
      <c r="S19" s="284"/>
      <c r="T19" s="284"/>
      <c r="U19" s="284"/>
      <c r="V19" s="284"/>
      <c r="W19" s="284"/>
      <c r="X19" s="284"/>
      <c r="Y19" s="20"/>
      <c r="Z19" s="20"/>
      <c r="AA19" s="20"/>
      <c r="AB19" s="284"/>
      <c r="AC19" s="284"/>
      <c r="AD19" s="284"/>
      <c r="AE19" s="284"/>
      <c r="AF19" s="284"/>
      <c r="AG19" s="20"/>
      <c r="AH19" s="284"/>
      <c r="AI19" s="284"/>
      <c r="AJ19" s="284"/>
      <c r="AK19" s="284"/>
      <c r="AL19" s="284"/>
    </row>
    <row r="20" spans="2:38" ht="15.75" x14ac:dyDescent="0.25">
      <c r="B20" s="5" t="s">
        <v>269</v>
      </c>
      <c r="C20" s="171" t="e">
        <f>MAX('Mast Arm 1 Design'!$Q$79:$AA$79)</f>
        <v>#N/A</v>
      </c>
      <c r="D20" s="50" t="str">
        <f t="shared" si="0"/>
        <v/>
      </c>
      <c r="J20" s="5" t="s">
        <v>269</v>
      </c>
      <c r="K20" s="171">
        <f>IF($K$16="","",VLOOKUP($K$16,'Mast Arm 1 Design'!$R$97:$S$102,2,0))</f>
        <v>0</v>
      </c>
      <c r="L20" s="50" t="str">
        <f t="shared" ref="L20:L24" si="1">IF($K$16="","",IF(K20&lt;=1,"PASS","FAIL"))</f>
        <v>PASS</v>
      </c>
      <c r="O20" s="8"/>
      <c r="R20" s="284"/>
      <c r="S20" s="284"/>
      <c r="T20" s="284"/>
      <c r="U20" s="284"/>
      <c r="V20" s="284"/>
      <c r="W20" s="284"/>
      <c r="X20" s="284"/>
      <c r="Y20" s="20"/>
      <c r="Z20" s="20"/>
      <c r="AA20" s="20"/>
      <c r="AB20" s="284"/>
      <c r="AC20" s="284"/>
      <c r="AD20" s="284"/>
      <c r="AE20" s="284"/>
      <c r="AF20" s="284"/>
      <c r="AG20" s="20"/>
      <c r="AH20" s="284"/>
      <c r="AI20" s="284"/>
      <c r="AJ20" s="284"/>
      <c r="AK20" s="284"/>
      <c r="AL20" s="284"/>
    </row>
    <row r="21" spans="2:38" ht="15.75" x14ac:dyDescent="0.25">
      <c r="B21" s="5" t="s">
        <v>189</v>
      </c>
      <c r="C21" s="171" t="e">
        <f>MAX('Mast Arm 1 Design'!$AB$79:$AL$79)</f>
        <v>#N/A</v>
      </c>
      <c r="D21" s="50" t="str">
        <f t="shared" si="0"/>
        <v/>
      </c>
      <c r="J21" s="5" t="s">
        <v>189</v>
      </c>
      <c r="K21" s="171">
        <f>IF($K$16="","",VLOOKUP($K$16,'Mast Arm 1 Design'!$AC$97:$AD$102,2,0))</f>
        <v>0</v>
      </c>
      <c r="L21" s="50" t="str">
        <f>IF($K$16="","",IF(K21&lt;=1,"PASS","FAIL"))</f>
        <v>PASS</v>
      </c>
      <c r="O21" s="8"/>
      <c r="R21" s="284"/>
      <c r="S21" s="284"/>
      <c r="T21" s="284"/>
      <c r="U21" s="284"/>
      <c r="V21" s="284"/>
      <c r="W21" s="284"/>
      <c r="X21" s="284"/>
      <c r="Y21" s="20"/>
      <c r="Z21" s="20"/>
      <c r="AA21" s="20"/>
      <c r="AB21" s="284"/>
      <c r="AC21" s="284"/>
      <c r="AD21" s="284"/>
      <c r="AE21" s="284"/>
      <c r="AF21" s="284"/>
      <c r="AG21" s="20"/>
      <c r="AH21" s="284"/>
      <c r="AI21" s="284"/>
      <c r="AJ21" s="284"/>
      <c r="AK21" s="284"/>
      <c r="AL21" s="284"/>
    </row>
    <row r="22" spans="2:38" ht="15.75" x14ac:dyDescent="0.25">
      <c r="B22" s="5" t="s">
        <v>190</v>
      </c>
      <c r="C22" s="171" t="e">
        <f>MAX('Mast Arm 1 Design'!$AM$79:$AW$79)</f>
        <v>#N/A</v>
      </c>
      <c r="D22" s="50" t="str">
        <f t="shared" si="0"/>
        <v/>
      </c>
      <c r="J22" s="5" t="s">
        <v>190</v>
      </c>
      <c r="K22" s="171">
        <f>IF($K$16="","",VLOOKUP($K$16,'Mast Arm 1 Design'!$AN$97:$AO$102,2,0))</f>
        <v>0</v>
      </c>
      <c r="L22" s="50" t="str">
        <f t="shared" si="1"/>
        <v>PASS</v>
      </c>
      <c r="O22" s="8"/>
      <c r="R22" s="284"/>
      <c r="S22" s="284"/>
      <c r="T22" s="284"/>
      <c r="U22" s="284"/>
      <c r="V22" s="284"/>
      <c r="W22" s="284"/>
      <c r="X22" s="284"/>
      <c r="Y22" s="20"/>
      <c r="Z22" s="20"/>
      <c r="AA22" s="20"/>
      <c r="AB22" s="284"/>
      <c r="AC22" s="284"/>
      <c r="AD22" s="284"/>
      <c r="AE22" s="284"/>
      <c r="AF22" s="284"/>
      <c r="AG22" s="20"/>
      <c r="AH22" s="284"/>
      <c r="AI22" s="284"/>
      <c r="AJ22" s="284"/>
      <c r="AK22" s="284"/>
      <c r="AL22" s="284"/>
    </row>
    <row r="23" spans="2:38" ht="15.75" x14ac:dyDescent="0.25">
      <c r="B23" s="5" t="s">
        <v>191</v>
      </c>
      <c r="C23" s="171" t="e">
        <f>MAX('Mast Arm 1 Design'!$AX$79:$BH$79)</f>
        <v>#N/A</v>
      </c>
      <c r="D23" s="50" t="str">
        <f t="shared" si="0"/>
        <v/>
      </c>
      <c r="J23" s="5" t="s">
        <v>191</v>
      </c>
      <c r="K23" s="171">
        <f>IF($K$16="","",VLOOKUP($K$16,'Mast Arm 1 Design'!$AY$97:$AZ$102,2,0))</f>
        <v>0</v>
      </c>
      <c r="L23" s="50" t="str">
        <f>IF($K$16="","",IF(K23&lt;=1,"PASS","FAIL"))</f>
        <v>PASS</v>
      </c>
      <c r="O23" s="8"/>
      <c r="R23" s="284"/>
      <c r="S23" s="284"/>
      <c r="T23" s="284"/>
      <c r="U23" s="284"/>
      <c r="V23" s="284"/>
      <c r="W23" s="284"/>
      <c r="X23" s="284"/>
      <c r="Y23" s="20"/>
      <c r="Z23" s="20"/>
      <c r="AA23" s="20"/>
      <c r="AB23" s="284"/>
      <c r="AC23" s="284"/>
      <c r="AD23" s="284"/>
      <c r="AE23" s="284"/>
      <c r="AF23" s="284"/>
      <c r="AG23" s="20"/>
      <c r="AH23" s="284"/>
      <c r="AI23" s="284"/>
      <c r="AJ23" s="284"/>
      <c r="AK23" s="284"/>
      <c r="AL23" s="284"/>
    </row>
    <row r="24" spans="2:38" ht="15.75" x14ac:dyDescent="0.25">
      <c r="B24" s="5" t="s">
        <v>192</v>
      </c>
      <c r="C24" s="171" t="e">
        <f>MAX('Mast Arm 1 Design'!$BI$79:$BS$79)</f>
        <v>#N/A</v>
      </c>
      <c r="D24" s="50" t="str">
        <f t="shared" si="0"/>
        <v/>
      </c>
      <c r="J24" s="5" t="s">
        <v>192</v>
      </c>
      <c r="K24" s="171">
        <f>IF($K$16="","",VLOOKUP($K$16,'Mast Arm 1 Design'!$BJ$97:$BK$102,2,0))</f>
        <v>0</v>
      </c>
      <c r="L24" s="50" t="str">
        <f t="shared" si="1"/>
        <v>PASS</v>
      </c>
      <c r="O24" s="8"/>
      <c r="R24" s="284"/>
      <c r="S24" s="284"/>
      <c r="T24" s="284"/>
      <c r="U24" s="284"/>
      <c r="V24" s="284"/>
      <c r="W24" s="284"/>
      <c r="X24" s="284"/>
      <c r="Y24" s="20"/>
      <c r="Z24" s="20"/>
      <c r="AA24" s="20"/>
      <c r="AB24" s="284"/>
      <c r="AC24" s="284"/>
      <c r="AD24" s="284"/>
      <c r="AE24" s="284"/>
      <c r="AF24" s="284"/>
      <c r="AG24" s="20"/>
      <c r="AH24" s="284"/>
      <c r="AI24" s="284"/>
      <c r="AJ24" s="284"/>
      <c r="AK24" s="284"/>
      <c r="AL24" s="284"/>
    </row>
    <row r="25" spans="2:38" ht="15.75" x14ac:dyDescent="0.25">
      <c r="B25" s="5"/>
      <c r="C25" s="5"/>
      <c r="D25" s="50" t="str">
        <f>IF(AND(D19="PASS",D20="PASS",D21="PASS",D22="PASS",D23="PASS",D24="PASS"),"ALL PASS","")</f>
        <v/>
      </c>
      <c r="G25" s="1"/>
      <c r="L25" s="50" t="str">
        <f>IF(AND(L19="PASS",L20="PASS",L21="PASS",L22="PASS",L23="PASS",L24="PASS"),"ALL PASS","")</f>
        <v>ALL PASS</v>
      </c>
      <c r="N25" s="2"/>
      <c r="O25" s="8"/>
      <c r="R25" s="284"/>
      <c r="S25" s="284"/>
      <c r="T25" s="284"/>
      <c r="U25" s="284"/>
      <c r="V25" s="284"/>
      <c r="W25" s="284"/>
      <c r="X25" s="284"/>
      <c r="Y25" s="20"/>
      <c r="Z25" s="20"/>
      <c r="AA25" s="20"/>
      <c r="AB25" s="284"/>
      <c r="AC25" s="284"/>
      <c r="AD25" s="284"/>
      <c r="AE25" s="284"/>
      <c r="AF25" s="284"/>
      <c r="AG25" s="20"/>
      <c r="AH25" s="284"/>
      <c r="AI25" s="284"/>
      <c r="AJ25" s="284"/>
      <c r="AK25" s="284"/>
      <c r="AL25" s="284"/>
    </row>
    <row r="26" spans="2:38" ht="15.75" x14ac:dyDescent="0.25">
      <c r="L26"/>
      <c r="M26" s="1"/>
      <c r="N26" s="2"/>
      <c r="O26" s="8"/>
      <c r="R26" s="284"/>
      <c r="S26" s="284"/>
      <c r="T26" s="284"/>
      <c r="U26" s="284"/>
      <c r="V26" s="284"/>
      <c r="W26" s="284"/>
      <c r="X26" s="284"/>
      <c r="Y26" s="20"/>
      <c r="Z26" s="20"/>
      <c r="AA26" s="20"/>
      <c r="AB26" s="284"/>
      <c r="AC26" s="284"/>
      <c r="AD26" s="284"/>
      <c r="AE26" s="284"/>
      <c r="AF26" s="284"/>
      <c r="AG26" s="20"/>
      <c r="AH26" s="284"/>
      <c r="AI26" s="284"/>
      <c r="AJ26" s="284"/>
      <c r="AK26" s="284"/>
      <c r="AL26" s="284"/>
    </row>
    <row r="27" spans="2:38" ht="15.75" x14ac:dyDescent="0.25">
      <c r="L27"/>
      <c r="M27" s="1"/>
      <c r="N27" s="2"/>
      <c r="R27" s="284"/>
      <c r="S27" s="284"/>
      <c r="T27" s="284"/>
      <c r="U27" s="284"/>
      <c r="V27" s="284"/>
      <c r="W27" s="284"/>
      <c r="X27" s="284"/>
      <c r="Y27" s="20"/>
      <c r="Z27" s="20"/>
      <c r="AA27" s="20"/>
      <c r="AB27" s="284"/>
      <c r="AC27" s="284"/>
      <c r="AD27" s="284"/>
      <c r="AE27" s="284"/>
      <c r="AF27" s="284"/>
      <c r="AG27" s="20"/>
      <c r="AH27" s="284"/>
      <c r="AI27" s="284"/>
      <c r="AJ27" s="284"/>
      <c r="AK27" s="284"/>
      <c r="AL27" s="284"/>
    </row>
    <row r="28" spans="2:38" ht="15.75" x14ac:dyDescent="0.25">
      <c r="B28" s="5" t="s">
        <v>129</v>
      </c>
      <c r="C28" s="39" t="str">
        <f>'Mast Arm 2 Design'!D7</f>
        <v>I</v>
      </c>
      <c r="L28"/>
      <c r="M28" s="1"/>
      <c r="N28" s="2"/>
      <c r="R28" s="284"/>
      <c r="S28" s="284"/>
      <c r="T28" s="284"/>
      <c r="U28" s="284"/>
      <c r="V28" s="284"/>
      <c r="W28" s="284"/>
      <c r="X28" s="284"/>
      <c r="Y28" s="20"/>
      <c r="Z28" s="20"/>
      <c r="AA28" s="20"/>
      <c r="AB28" s="284"/>
      <c r="AC28" s="284"/>
      <c r="AD28" s="284"/>
      <c r="AE28" s="284"/>
      <c r="AF28" s="284"/>
      <c r="AG28" s="20"/>
      <c r="AH28" s="284"/>
      <c r="AI28" s="284"/>
      <c r="AJ28" s="284"/>
      <c r="AK28" s="284"/>
      <c r="AL28" s="284"/>
    </row>
    <row r="29" spans="2:38" ht="15.75" x14ac:dyDescent="0.25">
      <c r="B29" s="5" t="s">
        <v>125</v>
      </c>
      <c r="C29" s="18">
        <f>'Mast Arm 2 Design'!D8</f>
        <v>0</v>
      </c>
      <c r="D29" s="6" t="s">
        <v>6</v>
      </c>
      <c r="J29" s="5" t="str">
        <f>IF(OR(D32="FAIL",D33="FAIL",D34="FAIL",D35="FAIL",D36="FAIL",D37="FAIL"),"Smallest Passing Arm 2 Length","")</f>
        <v/>
      </c>
      <c r="K29" s="40" t="str">
        <f>IF('Mast Arm 2 Design'!D8="","",IF(D38="ALL PASS","",IF('Mast Arm 2 Design'!G106=0,"",'Mast Arm 2 Design'!G106)))</f>
        <v/>
      </c>
      <c r="L29" s="6" t="s">
        <v>6</v>
      </c>
      <c r="M29" s="1"/>
      <c r="N29" s="2"/>
      <c r="R29" s="284"/>
      <c r="S29" s="284"/>
      <c r="T29" s="284"/>
      <c r="U29" s="284"/>
      <c r="V29" s="284"/>
      <c r="W29" s="284"/>
      <c r="X29" s="284"/>
      <c r="Y29" s="20"/>
      <c r="Z29" s="20"/>
      <c r="AA29" s="20"/>
      <c r="AB29" s="284"/>
      <c r="AC29" s="284"/>
      <c r="AD29" s="284"/>
      <c r="AE29" s="284"/>
      <c r="AF29" s="284"/>
      <c r="AG29" s="20"/>
      <c r="AH29" s="284"/>
      <c r="AI29" s="284"/>
      <c r="AJ29" s="284"/>
      <c r="AK29" s="284"/>
      <c r="AL29" s="284"/>
    </row>
    <row r="30" spans="2:38" ht="15.75" x14ac:dyDescent="0.25">
      <c r="B30" s="5" t="s">
        <v>127</v>
      </c>
      <c r="C30" s="286" t="str">
        <f>IF(C29=0,"N/A",IF('Mast Arm 2 Design'!$D$10="N/A",'Mast Arm 2 Design'!$D$9,CONCATENATE('Mast Arm 2 Design'!$D$9,"; ",'Mast Arm 2 Design'!$D$10)))</f>
        <v>N/A</v>
      </c>
      <c r="D30" s="286"/>
      <c r="E30" s="286"/>
      <c r="F30" s="286"/>
      <c r="J30" s="5" t="str">
        <f>IF(OR(D32="FAIL",D33="FAIL",D34="FAIL",D35="FAIL",D36="FAIL",D37="FAIL"),"Smallest Passing Arm 2 Member Size","")</f>
        <v/>
      </c>
      <c r="K30" s="286" t="str">
        <f>IF('Mast Arm 2 Design'!D8="","",IF(D38="ALL PASS","",IF('Mast Arm 2 Design'!G106=0,"None Pass",VLOOKUP(K29,IF(C28="I",'Mast Arm Geometry Tables'!$A$4:$E$10,IF(C28="II",'Mast Arm Geometry Tables'!$H$4:$L$10,'Mast Arm Geometry Tables'!N17:R23)),5,0))))</f>
        <v/>
      </c>
      <c r="L30" s="286"/>
      <c r="M30" s="286"/>
      <c r="N30" s="286"/>
      <c r="R30" s="284"/>
      <c r="S30" s="284"/>
      <c r="T30" s="284"/>
      <c r="U30" s="284"/>
      <c r="V30" s="284"/>
      <c r="W30" s="284"/>
      <c r="X30" s="284"/>
      <c r="Y30" s="20"/>
      <c r="Z30" s="20"/>
      <c r="AA30" s="20"/>
      <c r="AB30" s="284"/>
      <c r="AC30" s="284"/>
      <c r="AD30" s="284"/>
      <c r="AE30" s="284"/>
      <c r="AF30" s="284"/>
      <c r="AG30" s="20"/>
      <c r="AH30" s="284"/>
      <c r="AI30" s="284"/>
      <c r="AJ30" s="284"/>
      <c r="AK30" s="284"/>
      <c r="AL30" s="284"/>
    </row>
    <row r="31" spans="2:38" ht="15.75" x14ac:dyDescent="0.25">
      <c r="C31" s="27" t="s">
        <v>360</v>
      </c>
      <c r="K31" s="27" t="s">
        <v>360</v>
      </c>
      <c r="L31"/>
      <c r="M31" s="1"/>
      <c r="N31" s="2"/>
      <c r="R31" s="284"/>
      <c r="S31" s="284"/>
      <c r="T31" s="284"/>
      <c r="U31" s="284"/>
      <c r="V31" s="284"/>
      <c r="W31" s="284"/>
      <c r="X31" s="284"/>
      <c r="Y31" s="20"/>
      <c r="Z31" s="20"/>
      <c r="AA31" s="20"/>
      <c r="AB31" s="284"/>
      <c r="AC31" s="284"/>
      <c r="AD31" s="284"/>
      <c r="AE31" s="284"/>
      <c r="AF31" s="284"/>
      <c r="AG31" s="20"/>
      <c r="AH31" s="284"/>
      <c r="AI31" s="284"/>
      <c r="AJ31" s="284"/>
      <c r="AK31" s="284"/>
      <c r="AL31" s="284"/>
    </row>
    <row r="32" spans="2:38" ht="15.75" x14ac:dyDescent="0.25">
      <c r="B32" s="5" t="s">
        <v>4</v>
      </c>
      <c r="C32" s="171">
        <f>MAX('Mast Arm 2 Design'!$F$79:$P$79)</f>
        <v>0</v>
      </c>
      <c r="D32" s="50" t="str">
        <f>IF($C$29=0,"",IF(C32&lt;=1,"PASS","FAIL"))</f>
        <v/>
      </c>
      <c r="J32" s="5" t="s">
        <v>4</v>
      </c>
      <c r="K32" s="171" t="str">
        <f>IF(K29="","",VLOOKUP($K$29,'Mast Arm 2 Design'!$G$97:$H$102,2,0))</f>
        <v/>
      </c>
      <c r="L32" s="50" t="str">
        <f>IF($K$29="","",IF(K32&lt;=1,"PASS","FAIL"))</f>
        <v/>
      </c>
      <c r="M32" s="1"/>
      <c r="N32" s="2"/>
      <c r="R32" s="284"/>
      <c r="S32" s="284"/>
      <c r="T32" s="284"/>
      <c r="U32" s="284"/>
      <c r="V32" s="284"/>
      <c r="W32" s="284"/>
      <c r="X32" s="284"/>
      <c r="Y32" s="20"/>
      <c r="Z32" s="20"/>
      <c r="AA32" s="20"/>
      <c r="AB32" s="284"/>
      <c r="AC32" s="284"/>
      <c r="AD32" s="284"/>
      <c r="AE32" s="284"/>
      <c r="AF32" s="284"/>
      <c r="AG32" s="20"/>
      <c r="AH32" s="284"/>
      <c r="AI32" s="284"/>
      <c r="AJ32" s="284"/>
      <c r="AK32" s="284"/>
      <c r="AL32" s="284"/>
    </row>
    <row r="33" spans="2:38" ht="15.75" x14ac:dyDescent="0.25">
      <c r="B33" s="5" t="s">
        <v>269</v>
      </c>
      <c r="C33" s="171">
        <f>MAX('Mast Arm 2 Design'!$Q$79:$AA$79)</f>
        <v>0</v>
      </c>
      <c r="D33" s="50" t="str">
        <f t="shared" ref="D33" si="2">IF($C$29=0,"",IF(C33&lt;=1,"PASS","FAIL"))</f>
        <v/>
      </c>
      <c r="J33" s="5" t="s">
        <v>269</v>
      </c>
      <c r="K33" s="171" t="str">
        <f>IF(K29="","",VLOOKUP($K$29,'Mast Arm 2 Design'!$R$97:$S$102,2,0))</f>
        <v/>
      </c>
      <c r="L33" s="50" t="str">
        <f t="shared" ref="L33:L37" si="3">IF($K$29="","",IF(K33&lt;=1,"PASS","FAIL"))</f>
        <v/>
      </c>
      <c r="M33" s="1"/>
      <c r="N33" s="2"/>
      <c r="R33" s="284"/>
      <c r="S33" s="284"/>
      <c r="T33" s="284"/>
      <c r="U33" s="284"/>
      <c r="V33" s="284"/>
      <c r="W33" s="284"/>
      <c r="X33" s="284"/>
      <c r="Y33" s="20"/>
      <c r="Z33" s="20"/>
      <c r="AA33" s="20"/>
      <c r="AB33" s="284"/>
      <c r="AC33" s="284"/>
      <c r="AD33" s="284"/>
      <c r="AE33" s="284"/>
      <c r="AF33" s="284"/>
      <c r="AG33" s="20"/>
      <c r="AH33" s="284"/>
      <c r="AI33" s="284"/>
      <c r="AJ33" s="284"/>
      <c r="AK33" s="284"/>
      <c r="AL33" s="284"/>
    </row>
    <row r="34" spans="2:38" ht="15.75" x14ac:dyDescent="0.25">
      <c r="B34" s="5" t="s">
        <v>189</v>
      </c>
      <c r="C34" s="171">
        <f>MAX('Mast Arm 2 Design'!$AB$79:$AL$79)</f>
        <v>0</v>
      </c>
      <c r="D34" s="50" t="str">
        <f>IF($C$29=0,"",IF(C34&lt;=1,"PASS","FAIL"))</f>
        <v/>
      </c>
      <c r="J34" s="5" t="s">
        <v>189</v>
      </c>
      <c r="K34" s="171" t="str">
        <f>IF(K29="","",VLOOKUP($K$29,'Mast Arm 1 Design'!$AC$97:$AD$102,2,0))</f>
        <v/>
      </c>
      <c r="L34" s="50" t="str">
        <f>IF($K$29="","",IF(K34&lt;=1,"PASS","FAIL"))</f>
        <v/>
      </c>
      <c r="M34" s="1"/>
      <c r="N34" s="2"/>
      <c r="R34" s="284"/>
      <c r="S34" s="284"/>
      <c r="T34" s="284"/>
      <c r="U34" s="284"/>
      <c r="V34" s="284"/>
      <c r="W34" s="284"/>
      <c r="X34" s="284"/>
      <c r="Y34" s="20"/>
      <c r="Z34" s="20"/>
      <c r="AA34" s="20"/>
      <c r="AB34" s="284"/>
      <c r="AC34" s="284"/>
      <c r="AD34" s="284"/>
      <c r="AE34" s="284"/>
      <c r="AF34" s="284"/>
      <c r="AG34" s="20"/>
      <c r="AH34" s="284"/>
      <c r="AI34" s="284"/>
      <c r="AJ34" s="284"/>
      <c r="AK34" s="284"/>
      <c r="AL34" s="284"/>
    </row>
    <row r="35" spans="2:38" ht="15.75" x14ac:dyDescent="0.25">
      <c r="B35" s="5" t="s">
        <v>190</v>
      </c>
      <c r="C35" s="171">
        <f>MAX('Mast Arm 2 Design'!$AM$79:$AW$79)</f>
        <v>0</v>
      </c>
      <c r="D35" s="50" t="str">
        <f>IF($C$29=0,"",IF(C35&lt;=1,"PASS","FAIL"))</f>
        <v/>
      </c>
      <c r="J35" s="5" t="s">
        <v>190</v>
      </c>
      <c r="K35" s="171" t="str">
        <f>IF(K29="","",VLOOKUP($K$29,'Mast Arm 1 Design'!$AN$97:$AO$102,2,0))</f>
        <v/>
      </c>
      <c r="L35" s="50" t="str">
        <f t="shared" si="3"/>
        <v/>
      </c>
      <c r="M35" s="1"/>
      <c r="N35" s="2"/>
      <c r="R35" s="284"/>
      <c r="S35" s="284"/>
      <c r="T35" s="284"/>
      <c r="U35" s="284"/>
      <c r="V35" s="284"/>
      <c r="W35" s="284"/>
      <c r="X35" s="284"/>
      <c r="Y35" s="20"/>
      <c r="Z35" s="20"/>
      <c r="AA35" s="20"/>
      <c r="AB35" s="284"/>
      <c r="AC35" s="284"/>
      <c r="AD35" s="284"/>
      <c r="AE35" s="284"/>
      <c r="AF35" s="284"/>
      <c r="AG35" s="20"/>
      <c r="AH35" s="284"/>
      <c r="AI35" s="284"/>
      <c r="AJ35" s="284"/>
      <c r="AK35" s="284"/>
      <c r="AL35" s="284"/>
    </row>
    <row r="36" spans="2:38" ht="15.75" x14ac:dyDescent="0.25">
      <c r="B36" s="5" t="s">
        <v>191</v>
      </c>
      <c r="C36" s="171">
        <f>MAX('Mast Arm 2 Design'!$AX$79:$BH$79)</f>
        <v>0</v>
      </c>
      <c r="D36" s="50" t="str">
        <f>IF($C$29=0,"",IF(C36&lt;=1,"PASS","FAIL"))</f>
        <v/>
      </c>
      <c r="J36" s="5" t="s">
        <v>191</v>
      </c>
      <c r="K36" s="171" t="str">
        <f>IF(K29="","",VLOOKUP($K$29,'Mast Arm 1 Design'!$AY$97:$AZ$102,2,0))</f>
        <v/>
      </c>
      <c r="L36" s="50" t="str">
        <f t="shared" si="3"/>
        <v/>
      </c>
      <c r="M36" s="1"/>
      <c r="N36" s="2"/>
      <c r="R36" s="284"/>
      <c r="S36" s="284"/>
      <c r="T36" s="284"/>
      <c r="U36" s="284"/>
      <c r="V36" s="284"/>
      <c r="W36" s="284"/>
      <c r="X36" s="284"/>
      <c r="Y36" s="20"/>
      <c r="Z36" s="20"/>
      <c r="AA36" s="20"/>
      <c r="AB36" s="284"/>
      <c r="AC36" s="284"/>
      <c r="AD36" s="284"/>
      <c r="AE36" s="284"/>
      <c r="AF36" s="284"/>
      <c r="AG36" s="20"/>
      <c r="AH36" s="284"/>
      <c r="AI36" s="284"/>
      <c r="AJ36" s="284"/>
      <c r="AK36" s="284"/>
      <c r="AL36" s="284"/>
    </row>
    <row r="37" spans="2:38" ht="15.75" x14ac:dyDescent="0.25">
      <c r="B37" s="5" t="s">
        <v>192</v>
      </c>
      <c r="C37" s="171">
        <f>MAX('Mast Arm 2 Design'!$BI$79:$BS$79)</f>
        <v>0</v>
      </c>
      <c r="D37" s="50" t="str">
        <f>IF($C$29=0,"",IF(C37&lt;=1,"PASS","FAIL"))</f>
        <v/>
      </c>
      <c r="J37" s="5" t="s">
        <v>192</v>
      </c>
      <c r="K37" s="171" t="str">
        <f>IF(K29="","",VLOOKUP($K$29,'Mast Arm 1 Design'!$BJ$97:$BK$102,2,0))</f>
        <v/>
      </c>
      <c r="L37" s="50" t="str">
        <f t="shared" si="3"/>
        <v/>
      </c>
      <c r="M37" s="1"/>
      <c r="N37" s="2"/>
      <c r="R37" s="284"/>
      <c r="S37" s="284"/>
      <c r="T37" s="284"/>
      <c r="U37" s="284"/>
      <c r="V37" s="284"/>
      <c r="W37" s="284"/>
      <c r="X37" s="284"/>
      <c r="Y37" s="20"/>
      <c r="Z37" s="20"/>
      <c r="AA37" s="20"/>
      <c r="AB37" s="284"/>
      <c r="AC37" s="284"/>
      <c r="AD37" s="284"/>
      <c r="AE37" s="284"/>
      <c r="AF37" s="284"/>
      <c r="AG37" s="20"/>
      <c r="AH37" s="284"/>
      <c r="AI37" s="284"/>
      <c r="AJ37" s="284"/>
      <c r="AK37" s="284"/>
      <c r="AL37" s="284"/>
    </row>
    <row r="38" spans="2:38" ht="15.75" x14ac:dyDescent="0.25">
      <c r="D38" s="50" t="str">
        <f>IF(AND(D32="PASS",D33="PASS",D34="PASS",D35="PASS",D36="PASS",D37="PASS"),"ALL PASS","")</f>
        <v/>
      </c>
      <c r="L38" s="50" t="str">
        <f>IF(AND(L32="PASS",L33="PASS",L34="PASS",L35="PASS",L36="PASS",L37="PASS"),"ALL PASS","")</f>
        <v/>
      </c>
      <c r="M38" s="1"/>
      <c r="R38" s="284"/>
      <c r="S38" s="284"/>
      <c r="T38" s="284"/>
      <c r="U38" s="284"/>
      <c r="V38" s="284"/>
      <c r="W38" s="284"/>
      <c r="X38" s="284"/>
      <c r="Y38" s="20"/>
      <c r="Z38" s="20"/>
      <c r="AA38" s="20"/>
      <c r="AB38" s="284"/>
      <c r="AC38" s="284"/>
      <c r="AD38" s="284"/>
      <c r="AE38" s="284"/>
      <c r="AF38" s="284"/>
      <c r="AG38" s="20"/>
      <c r="AH38" s="284"/>
      <c r="AI38" s="284"/>
      <c r="AJ38" s="284"/>
      <c r="AK38" s="284"/>
      <c r="AL38" s="284"/>
    </row>
    <row r="39" spans="2:38" ht="15.75" x14ac:dyDescent="0.25">
      <c r="R39" s="284"/>
      <c r="S39" s="284"/>
      <c r="T39" s="284"/>
      <c r="U39" s="284"/>
      <c r="V39" s="284"/>
      <c r="W39" s="284"/>
      <c r="X39" s="284"/>
      <c r="Y39" s="20"/>
      <c r="Z39" s="20"/>
      <c r="AA39" s="20"/>
      <c r="AB39" s="284"/>
      <c r="AC39" s="284"/>
      <c r="AD39" s="284"/>
      <c r="AE39" s="284"/>
      <c r="AF39" s="284"/>
      <c r="AG39" s="20"/>
      <c r="AH39" s="284"/>
      <c r="AI39" s="284"/>
      <c r="AJ39" s="284"/>
      <c r="AK39" s="284"/>
      <c r="AL39" s="284"/>
    </row>
    <row r="40" spans="2:38" ht="15.75" x14ac:dyDescent="0.25">
      <c r="R40" s="284"/>
      <c r="S40" s="284"/>
      <c r="T40" s="284"/>
      <c r="U40" s="284"/>
      <c r="V40" s="284"/>
      <c r="W40" s="284"/>
      <c r="X40" s="284"/>
      <c r="Y40" s="20"/>
      <c r="Z40" s="20"/>
      <c r="AA40" s="20"/>
      <c r="AB40" s="284"/>
      <c r="AC40" s="284"/>
      <c r="AD40" s="284"/>
      <c r="AE40" s="284"/>
      <c r="AF40" s="284"/>
      <c r="AG40" s="20"/>
      <c r="AH40" s="284"/>
      <c r="AI40" s="284"/>
      <c r="AJ40" s="284"/>
      <c r="AK40" s="284"/>
      <c r="AL40" s="284"/>
    </row>
    <row r="41" spans="2:38" x14ac:dyDescent="0.2">
      <c r="B41" s="5" t="s">
        <v>273</v>
      </c>
      <c r="C41" s="39" t="str">
        <f>'Mast Arm Pole Design'!D7</f>
        <v>I</v>
      </c>
      <c r="L41"/>
      <c r="M41" s="1"/>
      <c r="N41" s="2"/>
    </row>
    <row r="42" spans="2:38" x14ac:dyDescent="0.2">
      <c r="B42" s="5" t="s">
        <v>86</v>
      </c>
      <c r="C42" s="18" t="str">
        <f>'Mast Arm Pole Design'!D13</f>
        <v>N/A</v>
      </c>
      <c r="D42" s="6" t="s">
        <v>6</v>
      </c>
      <c r="L42"/>
      <c r="M42" s="1"/>
      <c r="N42" s="2"/>
    </row>
    <row r="43" spans="2:38" x14ac:dyDescent="0.2">
      <c r="B43" s="5" t="s">
        <v>274</v>
      </c>
      <c r="C43" s="286" t="str">
        <f>'Mast Arm Pole Design'!D12</f>
        <v>ERROR: INPUT MAST ARM LENGTH</v>
      </c>
      <c r="D43" s="286"/>
      <c r="E43" s="286"/>
      <c r="F43" s="286"/>
      <c r="L43"/>
      <c r="M43" s="1"/>
      <c r="N43" s="2"/>
    </row>
    <row r="44" spans="2:38" x14ac:dyDescent="0.2">
      <c r="C44" s="27" t="s">
        <v>360</v>
      </c>
      <c r="L44"/>
      <c r="M44" s="1"/>
      <c r="N44" s="2"/>
    </row>
    <row r="45" spans="2:38" x14ac:dyDescent="0.2">
      <c r="B45" s="5" t="s">
        <v>4</v>
      </c>
      <c r="C45" s="171" t="e">
        <f>MAX('Mast Arm Pole Design'!$F$65:$P$65)</f>
        <v>#N/A</v>
      </c>
      <c r="D45" s="50" t="e">
        <f>IF(C45&lt;=1,"PASS","FAIL")</f>
        <v>#N/A</v>
      </c>
      <c r="L45"/>
      <c r="M45" s="1"/>
      <c r="N45" s="2"/>
    </row>
    <row r="46" spans="2:38" x14ac:dyDescent="0.2">
      <c r="B46" s="5" t="s">
        <v>189</v>
      </c>
      <c r="C46" s="171" t="e">
        <f>MAX('Mast Arm Pole Design'!$AB$65:$AL$65)</f>
        <v>#N/A</v>
      </c>
      <c r="D46" s="50" t="e">
        <f>IF(C46&lt;=1,"PASS","FAIL")</f>
        <v>#N/A</v>
      </c>
      <c r="L46"/>
      <c r="M46" s="1"/>
      <c r="N46" s="2"/>
    </row>
    <row r="47" spans="2:38" ht="14.25" x14ac:dyDescent="0.25">
      <c r="B47" s="5" t="s">
        <v>190</v>
      </c>
      <c r="C47" s="171" t="e">
        <f>MAX('Mast Arm Pole Design'!$AM$65:$AW$65)</f>
        <v>#N/A</v>
      </c>
      <c r="D47" s="50" t="e">
        <f t="shared" ref="D47" si="4">IF(C47&lt;=1,"PASS","FAIL")</f>
        <v>#N/A</v>
      </c>
      <c r="L47"/>
      <c r="M47" s="1"/>
      <c r="N47" s="2"/>
    </row>
    <row r="48" spans="2:38" x14ac:dyDescent="0.2">
      <c r="B48" s="5" t="s">
        <v>285</v>
      </c>
      <c r="C48" s="171" t="e">
        <f>MAX('Mast Arm Pole Design'!$AX$65:$BH$65)</f>
        <v>#N/A</v>
      </c>
      <c r="D48" s="50" t="e">
        <f>IF(C48&lt;=1,"PASS","FAIL")</f>
        <v>#N/A</v>
      </c>
      <c r="L48"/>
      <c r="M48" s="1"/>
      <c r="N48" s="2"/>
    </row>
    <row r="49" spans="2:14" ht="14.25" x14ac:dyDescent="0.25">
      <c r="B49" s="5" t="s">
        <v>341</v>
      </c>
      <c r="C49" s="171" t="e">
        <f>MAX('Mast Arm Pole Design'!BI65:BS65)</f>
        <v>#N/A</v>
      </c>
      <c r="D49" s="50" t="e">
        <f>IF(C49&lt;=1,"PASS","FAIL")</f>
        <v>#N/A</v>
      </c>
      <c r="L49"/>
      <c r="M49" s="1"/>
      <c r="N49" s="2"/>
    </row>
    <row r="50" spans="2:14" x14ac:dyDescent="0.2">
      <c r="D50" s="50" t="e">
        <f>IF(AND(D45="PASS",D46="PASS",D47="PASS",D48="PASS",D49="PASS"),"ALL PASS","")</f>
        <v>#N/A</v>
      </c>
      <c r="L50"/>
      <c r="M50" s="1"/>
      <c r="N50" s="2"/>
    </row>
  </sheetData>
  <sheetProtection algorithmName="SHA-512" hashValue="0KGkJlsTpWXMcysvC/soqdftdUzk+jNhuZQ97aLU+docZXwIurl15xXDaLToiHft4R5OGbHo/3iZe2F/WEbUog==" saltValue="dURrmcqLAd+NQpGwOjU5Zg==" spinCount="100000" sheet="1" objects="1" scenarios="1" formatCells="0"/>
  <mergeCells count="100">
    <mergeCell ref="AH12:AL12"/>
    <mergeCell ref="R12:X12"/>
    <mergeCell ref="AB12:AF12"/>
    <mergeCell ref="K17:N17"/>
    <mergeCell ref="C9:E9"/>
    <mergeCell ref="R13:X13"/>
    <mergeCell ref="AB13:AF13"/>
    <mergeCell ref="AH13:AL13"/>
    <mergeCell ref="R14:X14"/>
    <mergeCell ref="AB14:AF14"/>
    <mergeCell ref="AH14:AL14"/>
    <mergeCell ref="R15:X15"/>
    <mergeCell ref="R17:X17"/>
    <mergeCell ref="AB17:AF17"/>
    <mergeCell ref="AH17:AL17"/>
    <mergeCell ref="AB15:AF15"/>
    <mergeCell ref="C43:F43"/>
    <mergeCell ref="C30:F30"/>
    <mergeCell ref="K30:N30"/>
    <mergeCell ref="F1:G1"/>
    <mergeCell ref="H1:O1"/>
    <mergeCell ref="F2:G2"/>
    <mergeCell ref="H2:I2"/>
    <mergeCell ref="C17:F17"/>
    <mergeCell ref="C7:E7"/>
    <mergeCell ref="C8:E8"/>
    <mergeCell ref="M3:O3"/>
    <mergeCell ref="AH15:AL15"/>
    <mergeCell ref="R16:X16"/>
    <mergeCell ref="AB16:AF16"/>
    <mergeCell ref="AH16:AL16"/>
    <mergeCell ref="AH18:AL18"/>
    <mergeCell ref="R18:X18"/>
    <mergeCell ref="AB18:AF18"/>
    <mergeCell ref="R19:X19"/>
    <mergeCell ref="AB19:AF19"/>
    <mergeCell ref="AH19:AL19"/>
    <mergeCell ref="R20:X20"/>
    <mergeCell ref="AB20:AF20"/>
    <mergeCell ref="AH20:AL20"/>
    <mergeCell ref="R21:X21"/>
    <mergeCell ref="AB21:AF21"/>
    <mergeCell ref="AH21:AL21"/>
    <mergeCell ref="R22:X22"/>
    <mergeCell ref="AB22:AF22"/>
    <mergeCell ref="AH22:AL22"/>
    <mergeCell ref="R23:X23"/>
    <mergeCell ref="AB23:AF23"/>
    <mergeCell ref="AH23:AL23"/>
    <mergeCell ref="R24:X24"/>
    <mergeCell ref="AB24:AF24"/>
    <mergeCell ref="AH24:AL24"/>
    <mergeCell ref="R25:X25"/>
    <mergeCell ref="AB25:AF25"/>
    <mergeCell ref="AH25:AL25"/>
    <mergeCell ref="R26:X26"/>
    <mergeCell ref="AB26:AF26"/>
    <mergeCell ref="AH26:AL26"/>
    <mergeCell ref="R27:X27"/>
    <mergeCell ref="AB27:AF27"/>
    <mergeCell ref="AH27:AL27"/>
    <mergeCell ref="R28:X28"/>
    <mergeCell ref="AB28:AF28"/>
    <mergeCell ref="AH28:AL28"/>
    <mergeCell ref="R29:X29"/>
    <mergeCell ref="AB29:AF29"/>
    <mergeCell ref="AH29:AL29"/>
    <mergeCell ref="R30:X30"/>
    <mergeCell ref="AB30:AF30"/>
    <mergeCell ref="AH30:AL30"/>
    <mergeCell ref="R31:X31"/>
    <mergeCell ref="AB31:AF31"/>
    <mergeCell ref="AH31:AL31"/>
    <mergeCell ref="R32:X32"/>
    <mergeCell ref="AB32:AF32"/>
    <mergeCell ref="AH32:AL32"/>
    <mergeCell ref="R33:X33"/>
    <mergeCell ref="AB33:AF33"/>
    <mergeCell ref="AH33:AL33"/>
    <mergeCell ref="R34:X34"/>
    <mergeCell ref="AB34:AF34"/>
    <mergeCell ref="AH34:AL34"/>
    <mergeCell ref="R35:X35"/>
    <mergeCell ref="AB35:AF35"/>
    <mergeCell ref="AH35:AL35"/>
    <mergeCell ref="R36:X36"/>
    <mergeCell ref="AB36:AF36"/>
    <mergeCell ref="AH36:AL36"/>
    <mergeCell ref="R37:X37"/>
    <mergeCell ref="AB37:AF37"/>
    <mergeCell ref="AH37:AL37"/>
    <mergeCell ref="R38:X38"/>
    <mergeCell ref="AB38:AF38"/>
    <mergeCell ref="AH38:AL38"/>
    <mergeCell ref="R39:X39"/>
    <mergeCell ref="AB39:AF39"/>
    <mergeCell ref="AH39:AL39"/>
    <mergeCell ref="R40:X40"/>
    <mergeCell ref="AB40:AF40"/>
    <mergeCell ref="AH40:AL40"/>
  </mergeCells>
  <phoneticPr fontId="7" type="noConversion"/>
  <conditionalFormatting sqref="D19:D25 D32:D37 D45:D49">
    <cfRule type="containsText" dxfId="13" priority="80" operator="containsText" text="FAIL">
      <formula>NOT(ISERROR(SEARCH("FAIL",D19)))</formula>
    </cfRule>
    <cfRule type="containsText" dxfId="12" priority="83" operator="containsText" text="PASS">
      <formula>NOT(ISERROR(SEARCH("PASS",D19)))</formula>
    </cfRule>
  </conditionalFormatting>
  <conditionalFormatting sqref="D38">
    <cfRule type="containsText" dxfId="11" priority="17" operator="containsText" text="FAIL">
      <formula>NOT(ISERROR(SEARCH("FAIL",D38)))</formula>
    </cfRule>
    <cfRule type="containsText" dxfId="10" priority="18" operator="containsText" text="PASS">
      <formula>NOT(ISERROR(SEARCH("PASS",D38)))</formula>
    </cfRule>
  </conditionalFormatting>
  <conditionalFormatting sqref="L25">
    <cfRule type="containsText" dxfId="9" priority="15" operator="containsText" text="FAIL">
      <formula>NOT(ISERROR(SEARCH("FAIL",L25)))</formula>
    </cfRule>
    <cfRule type="containsText" dxfId="8" priority="16" operator="containsText" text="PASS">
      <formula>NOT(ISERROR(SEARCH("PASS",L25)))</formula>
    </cfRule>
  </conditionalFormatting>
  <conditionalFormatting sqref="L19:L24">
    <cfRule type="containsText" dxfId="7" priority="7" operator="containsText" text="FAIL">
      <formula>NOT(ISERROR(SEARCH("FAIL",L19)))</formula>
    </cfRule>
    <cfRule type="containsText" dxfId="6" priority="8" operator="containsText" text="PASS">
      <formula>NOT(ISERROR(SEARCH("PASS",L19)))</formula>
    </cfRule>
  </conditionalFormatting>
  <conditionalFormatting sqref="D50">
    <cfRule type="containsText" dxfId="5" priority="5" operator="containsText" text="FAIL">
      <formula>NOT(ISERROR(SEARCH("FAIL",D50)))</formula>
    </cfRule>
    <cfRule type="containsText" dxfId="4" priority="6" operator="containsText" text="PASS">
      <formula>NOT(ISERROR(SEARCH("PASS",D50)))</formula>
    </cfRule>
  </conditionalFormatting>
  <conditionalFormatting sqref="L38">
    <cfRule type="containsText" dxfId="3" priority="3" operator="containsText" text="FAIL">
      <formula>NOT(ISERROR(SEARCH("FAIL",L38)))</formula>
    </cfRule>
    <cfRule type="containsText" dxfId="2" priority="4" operator="containsText" text="PASS">
      <formula>NOT(ISERROR(SEARCH("PASS",L38)))</formula>
    </cfRule>
  </conditionalFormatting>
  <conditionalFormatting sqref="L32:L37">
    <cfRule type="containsText" dxfId="1" priority="1" operator="containsText" text="FAIL">
      <formula>NOT(ISERROR(SEARCH("FAIL",L32)))</formula>
    </cfRule>
    <cfRule type="containsText" dxfId="0" priority="2" operator="containsText" text="PASS">
      <formula>NOT(ISERROR(SEARCH("PASS",L32)))</formula>
    </cfRule>
  </conditionalFormatting>
  <pageMargins left="0.7" right="0.7" top="0.75" bottom="0.75" header="0.3" footer="0.3"/>
  <pageSetup scale="56" firstPageNumber="0"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89FD-219D-4259-A802-32BC73944AE0}">
  <sheetPr codeName="Sheet8">
    <tabColor theme="1"/>
  </sheetPr>
  <dimension ref="A1:S17"/>
  <sheetViews>
    <sheetView topLeftCell="N1" zoomScale="115" zoomScaleNormal="115" workbookViewId="0">
      <selection activeCell="J19" sqref="J19"/>
    </sheetView>
  </sheetViews>
  <sheetFormatPr defaultRowHeight="12.75" x14ac:dyDescent="0.2"/>
  <cols>
    <col min="1" max="1" width="18.28515625" bestFit="1" customWidth="1"/>
    <col min="2" max="2" width="23.140625" style="11" bestFit="1" customWidth="1"/>
    <col min="3" max="3" width="22.5703125" bestFit="1" customWidth="1"/>
    <col min="4" max="4" width="12.5703125" bestFit="1" customWidth="1"/>
    <col min="5" max="5" width="26.85546875" bestFit="1" customWidth="1"/>
    <col min="6" max="6" width="46.42578125" bestFit="1" customWidth="1"/>
    <col min="7" max="7" width="8.28515625" bestFit="1" customWidth="1"/>
    <col min="8" max="8" width="18.28515625" bestFit="1" customWidth="1"/>
    <col min="9" max="9" width="23.140625" bestFit="1" customWidth="1"/>
    <col min="10" max="10" width="22.5703125" bestFit="1" customWidth="1"/>
    <col min="11" max="11" width="12.5703125" bestFit="1" customWidth="1"/>
    <col min="12" max="12" width="27.85546875" bestFit="1" customWidth="1"/>
    <col min="13" max="13" width="48.140625" bestFit="1" customWidth="1"/>
    <col min="14" max="14" width="18.28515625" bestFit="1" customWidth="1"/>
    <col min="15" max="15" width="23.140625" bestFit="1" customWidth="1"/>
    <col min="16" max="16" width="22.5703125" bestFit="1" customWidth="1"/>
    <col min="17" max="17" width="12.5703125" bestFit="1" customWidth="1"/>
    <col min="18" max="18" width="27.85546875" bestFit="1" customWidth="1"/>
    <col min="19" max="19" width="8.28515625" bestFit="1" customWidth="1"/>
    <col min="20" max="20" width="12.5703125" bestFit="1" customWidth="1"/>
    <col min="21" max="21" width="9.28515625" bestFit="1" customWidth="1"/>
    <col min="22" max="22" width="9.28515625" customWidth="1"/>
    <col min="23" max="23" width="12.5703125" bestFit="1" customWidth="1"/>
    <col min="24" max="25" width="10.7109375" bestFit="1" customWidth="1"/>
  </cols>
  <sheetData>
    <row r="1" spans="1:19" ht="15.75" x14ac:dyDescent="0.25">
      <c r="A1" s="296" t="s">
        <v>157</v>
      </c>
      <c r="B1" s="296"/>
      <c r="C1" s="296"/>
      <c r="D1" s="296"/>
      <c r="E1" s="296"/>
      <c r="F1" s="20"/>
      <c r="H1" s="296" t="s">
        <v>159</v>
      </c>
      <c r="I1" s="296"/>
      <c r="J1" s="296"/>
      <c r="K1" s="296"/>
      <c r="L1" s="296"/>
      <c r="N1" s="296" t="s">
        <v>161</v>
      </c>
      <c r="O1" s="296"/>
      <c r="P1" s="296"/>
      <c r="Q1" s="296"/>
      <c r="R1" s="296"/>
    </row>
    <row r="2" spans="1:19" x14ac:dyDescent="0.2">
      <c r="A2" s="30" t="s">
        <v>30</v>
      </c>
      <c r="B2" s="33" t="s">
        <v>24</v>
      </c>
      <c r="C2" s="31" t="s">
        <v>25</v>
      </c>
      <c r="D2" s="31" t="s">
        <v>26</v>
      </c>
      <c r="E2" s="30" t="s">
        <v>29</v>
      </c>
      <c r="H2" s="32" t="s">
        <v>30</v>
      </c>
      <c r="I2" s="33" t="s">
        <v>24</v>
      </c>
      <c r="J2" s="31" t="s">
        <v>25</v>
      </c>
      <c r="K2" s="31" t="s">
        <v>26</v>
      </c>
      <c r="L2" s="30" t="s">
        <v>29</v>
      </c>
      <c r="N2" s="32" t="s">
        <v>30</v>
      </c>
      <c r="O2" s="33" t="s">
        <v>24</v>
      </c>
      <c r="P2" s="31" t="s">
        <v>25</v>
      </c>
      <c r="Q2" s="31" t="s">
        <v>26</v>
      </c>
      <c r="R2" s="30" t="s">
        <v>29</v>
      </c>
    </row>
    <row r="3" spans="1:19" x14ac:dyDescent="0.2">
      <c r="A3" s="30"/>
      <c r="B3" s="33"/>
      <c r="C3" s="31"/>
      <c r="D3" s="31"/>
      <c r="E3" s="30"/>
      <c r="H3" s="32"/>
      <c r="I3" s="33"/>
      <c r="J3" s="31"/>
      <c r="K3" s="31"/>
      <c r="L3" s="30"/>
      <c r="N3" s="32"/>
      <c r="O3" s="33"/>
      <c r="P3" s="31"/>
      <c r="Q3" s="31"/>
      <c r="R3" s="30"/>
    </row>
    <row r="4" spans="1:19" x14ac:dyDescent="0.2">
      <c r="A4" s="30">
        <v>20</v>
      </c>
      <c r="B4" s="33">
        <v>16.5</v>
      </c>
      <c r="C4" s="31">
        <v>13.7</v>
      </c>
      <c r="D4" s="31">
        <v>0.17929999999999999</v>
      </c>
      <c r="E4" s="30" t="s">
        <v>31</v>
      </c>
      <c r="F4" t="str">
        <f>E4</f>
        <v>0.1793"-16.5" x 13.70" x 20'-0"</v>
      </c>
      <c r="H4" s="34">
        <v>20</v>
      </c>
      <c r="I4" s="33">
        <v>8.5</v>
      </c>
      <c r="J4" s="31">
        <v>5.7</v>
      </c>
      <c r="K4" s="31">
        <v>0.25</v>
      </c>
      <c r="L4" s="30" t="s">
        <v>37</v>
      </c>
      <c r="M4" t="str">
        <f>L4</f>
        <v>0.2500"-8.50" x 5.70" x 20'-0"</v>
      </c>
      <c r="N4" s="34">
        <v>20</v>
      </c>
      <c r="O4" s="33">
        <v>8</v>
      </c>
      <c r="P4" s="31">
        <v>5.2</v>
      </c>
      <c r="Q4" s="31">
        <v>0.25</v>
      </c>
      <c r="R4" s="30" t="s">
        <v>39</v>
      </c>
      <c r="S4" t="str">
        <f>R4</f>
        <v>0.2500"-8.00" x 5.20" x 20'-0"</v>
      </c>
    </row>
    <row r="5" spans="1:19" x14ac:dyDescent="0.2">
      <c r="A5" s="30">
        <v>25</v>
      </c>
      <c r="B5" s="33">
        <v>16.5</v>
      </c>
      <c r="C5" s="31">
        <v>13</v>
      </c>
      <c r="D5" s="31">
        <v>0.17929999999999999</v>
      </c>
      <c r="E5" s="30" t="s">
        <v>33</v>
      </c>
      <c r="F5" t="str">
        <f t="shared" ref="F5:F6" si="0">E5</f>
        <v>0.1793"-16.5" x 13.00" x 25'-0"</v>
      </c>
      <c r="H5" s="34">
        <v>25</v>
      </c>
      <c r="I5" s="33">
        <v>9.5</v>
      </c>
      <c r="J5" s="31">
        <v>6</v>
      </c>
      <c r="K5" s="31">
        <v>0.25</v>
      </c>
      <c r="L5" s="30" t="s">
        <v>36</v>
      </c>
      <c r="M5" t="str">
        <f t="shared" ref="M5:M6" si="1">L5</f>
        <v>0.2500"-9.50" x 6.00" x 25'-0"</v>
      </c>
      <c r="N5" s="34">
        <v>25</v>
      </c>
      <c r="O5" s="33">
        <v>8</v>
      </c>
      <c r="P5" s="31">
        <v>4.5</v>
      </c>
      <c r="Q5" s="31">
        <v>0.25</v>
      </c>
      <c r="R5" s="30" t="s">
        <v>40</v>
      </c>
      <c r="S5" t="str">
        <f t="shared" ref="S5:S8" si="2">R5</f>
        <v>0.2500"-8.00" x 4.50" x 25'-0"</v>
      </c>
    </row>
    <row r="6" spans="1:19" x14ac:dyDescent="0.2">
      <c r="A6" s="30">
        <v>30</v>
      </c>
      <c r="B6" s="33">
        <v>16.5</v>
      </c>
      <c r="C6" s="31">
        <v>12.3</v>
      </c>
      <c r="D6" s="31">
        <v>0.17929999999999999</v>
      </c>
      <c r="E6" s="30" t="s">
        <v>32</v>
      </c>
      <c r="F6" t="str">
        <f t="shared" si="0"/>
        <v>0.1793"-16.5" x 12.30" x 30'-0"</v>
      </c>
      <c r="H6" s="34">
        <v>30</v>
      </c>
      <c r="I6" s="33">
        <v>10.5</v>
      </c>
      <c r="J6" s="31">
        <v>6.3</v>
      </c>
      <c r="K6" s="31">
        <v>0.25</v>
      </c>
      <c r="L6" s="30" t="s">
        <v>38</v>
      </c>
      <c r="M6" t="str">
        <f t="shared" si="1"/>
        <v>0.2500"-10.50" x 6.30" x 30'-0"</v>
      </c>
      <c r="N6" s="34">
        <v>30</v>
      </c>
      <c r="O6" s="33">
        <v>8</v>
      </c>
      <c r="P6" s="31">
        <v>3.8</v>
      </c>
      <c r="Q6" s="31">
        <v>0.25</v>
      </c>
      <c r="R6" s="30" t="s">
        <v>41</v>
      </c>
      <c r="S6" t="str">
        <f t="shared" si="2"/>
        <v>0.2500"-8.00" x 3.80" x 30"-0"</v>
      </c>
    </row>
    <row r="7" spans="1:19" x14ac:dyDescent="0.2">
      <c r="A7" s="30">
        <v>35</v>
      </c>
      <c r="B7" s="33">
        <v>16.5</v>
      </c>
      <c r="C7" s="31">
        <v>13.7</v>
      </c>
      <c r="D7" s="31">
        <v>0.42899999999999999</v>
      </c>
      <c r="E7" s="30" t="s">
        <v>34</v>
      </c>
      <c r="F7" t="str">
        <f>CONCATENATE(E7,"; ",E14)</f>
        <v>0.4290"-16.5" x 13.70" x 20'-0"; 0.1793"-14.30" x 12.00" x 16'-9"</v>
      </c>
      <c r="H7" s="34">
        <v>35</v>
      </c>
      <c r="I7" s="33">
        <v>13.5</v>
      </c>
      <c r="J7" s="31">
        <v>12.1</v>
      </c>
      <c r="K7" s="31">
        <v>0.42899999999999999</v>
      </c>
      <c r="L7" s="30" t="s">
        <v>45</v>
      </c>
      <c r="M7" t="str">
        <f t="shared" ref="M7:M9" si="3">CONCATENATE(L7,"; ",L14)</f>
        <v>0.4290"-13.50" x 12.10" x 10'-0"; 0.1793"-12.68" x 8.96" x 26'-7"</v>
      </c>
      <c r="N7" s="34">
        <v>35</v>
      </c>
      <c r="O7" s="33">
        <v>11</v>
      </c>
      <c r="P7" s="31">
        <v>6.1</v>
      </c>
      <c r="Q7" s="31">
        <v>0.25</v>
      </c>
      <c r="R7" s="30" t="s">
        <v>42</v>
      </c>
      <c r="S7" t="str">
        <f t="shared" si="2"/>
        <v>0.2500"-11.00" x 6.10" x 35'-0"</v>
      </c>
    </row>
    <row r="8" spans="1:19" x14ac:dyDescent="0.2">
      <c r="A8" s="30">
        <v>40</v>
      </c>
      <c r="B8" s="33">
        <v>16.5</v>
      </c>
      <c r="C8" s="31">
        <v>13.7</v>
      </c>
      <c r="D8" s="31">
        <v>0.42899999999999999</v>
      </c>
      <c r="E8" s="30" t="s">
        <v>34</v>
      </c>
      <c r="F8" t="str">
        <f t="shared" ref="F8:F9" si="4">CONCATENATE(E8,"; ",E15)</f>
        <v>0.4290"-16.5" x 13.70" x 20'-0"; 0.1793"-14.30" x 11.30" x 21'-9"</v>
      </c>
      <c r="H8" s="34">
        <v>40</v>
      </c>
      <c r="I8" s="33">
        <v>13.5</v>
      </c>
      <c r="J8" s="31">
        <v>12.1</v>
      </c>
      <c r="K8" s="31">
        <v>0.5</v>
      </c>
      <c r="L8" s="30" t="s">
        <v>46</v>
      </c>
      <c r="M8" t="str">
        <f t="shared" si="3"/>
        <v>0.5000"-13.50" x 12.10" x 10'-0"; 0.2391"-12.80" x 8.38" x 31'-7"</v>
      </c>
      <c r="N8" s="34">
        <v>40</v>
      </c>
      <c r="O8" s="33">
        <v>11</v>
      </c>
      <c r="P8" s="31">
        <v>5.4</v>
      </c>
      <c r="Q8" s="31">
        <v>0.25</v>
      </c>
      <c r="R8" s="30" t="s">
        <v>43</v>
      </c>
      <c r="S8" t="str">
        <f t="shared" si="2"/>
        <v>0.2500"-11.00" x 5.40" x 40'-0"</v>
      </c>
    </row>
    <row r="9" spans="1:19" x14ac:dyDescent="0.2">
      <c r="A9" s="30">
        <v>45</v>
      </c>
      <c r="B9" s="33">
        <v>16.5</v>
      </c>
      <c r="C9" s="31">
        <v>13.7</v>
      </c>
      <c r="D9" s="31">
        <v>0.42899999999999999</v>
      </c>
      <c r="E9" s="30" t="s">
        <v>34</v>
      </c>
      <c r="F9" t="str">
        <f t="shared" si="4"/>
        <v>0.4290"-16.5" x 13.70" x 20'-0"; 0.1793"-14.30" x 10.60" x 26'-9"</v>
      </c>
      <c r="H9" s="34">
        <v>45</v>
      </c>
      <c r="I9" s="33">
        <v>15</v>
      </c>
      <c r="J9" s="31">
        <v>12.9</v>
      </c>
      <c r="K9" s="31">
        <v>0.42899999999999999</v>
      </c>
      <c r="L9" s="30" t="s">
        <v>47</v>
      </c>
      <c r="M9" t="str">
        <f t="shared" si="3"/>
        <v>0.4290"-15.00" x 12.90" x 15'-0"; 0.2391"-13.61" x 9.18" x 31'-8"</v>
      </c>
      <c r="N9" s="34">
        <v>45</v>
      </c>
      <c r="O9" s="33">
        <v>11</v>
      </c>
      <c r="P9" s="31">
        <v>8.66</v>
      </c>
      <c r="Q9" s="31">
        <v>0.3125</v>
      </c>
      <c r="R9" s="30" t="s">
        <v>49</v>
      </c>
      <c r="S9" t="str">
        <f>CONCATENATE(R9,"; ",R14)</f>
        <v>0.3125"-11.00" x 8.66" x 16'-9"; 0.1793"-9.18" x 5.10" x 29'-5"</v>
      </c>
    </row>
    <row r="10" spans="1:19" x14ac:dyDescent="0.2">
      <c r="A10" s="30">
        <v>50</v>
      </c>
      <c r="B10" s="33">
        <v>17.5</v>
      </c>
      <c r="C10" s="31">
        <v>14.7</v>
      </c>
      <c r="D10" s="31">
        <v>0.42899999999999999</v>
      </c>
      <c r="E10" s="30" t="s">
        <v>44</v>
      </c>
      <c r="F10" t="str">
        <f>CONCATENATE(E10,"; ",E17)</f>
        <v>0.4290"-17.5" x 14.70" x 20'-0"; 0.2391"-15.45" x 11.00" x 31'-11"</v>
      </c>
      <c r="H10" s="34">
        <v>50</v>
      </c>
      <c r="I10" s="33">
        <v>15.5</v>
      </c>
      <c r="J10" s="31">
        <v>12.7</v>
      </c>
      <c r="K10" s="31">
        <v>0.5</v>
      </c>
      <c r="L10" s="30" t="s">
        <v>48</v>
      </c>
      <c r="M10" t="str">
        <f>CONCATENATE(L10,"; ",L17)</f>
        <v>0.5000"-15.50" x 12.70" x 20'-0"; 0.2391"-13.41" x 8.98" x 31'-8"</v>
      </c>
      <c r="N10" s="34">
        <v>50</v>
      </c>
      <c r="O10" s="33">
        <v>15</v>
      </c>
      <c r="P10" s="31">
        <v>12.66</v>
      </c>
      <c r="Q10" s="31">
        <v>0.375</v>
      </c>
      <c r="R10" s="30" t="s">
        <v>50</v>
      </c>
      <c r="S10" t="str">
        <f>CONCATENATE(R10,"; ",R15)</f>
        <v>0.3750"-15.00" x 12.66" x 16'-9"; 0.2391"-13.37" x 8.48" x 34'-11"</v>
      </c>
    </row>
    <row r="11" spans="1:19" x14ac:dyDescent="0.2">
      <c r="A11" s="30"/>
      <c r="B11" s="33"/>
      <c r="C11" s="31"/>
      <c r="D11" s="31"/>
      <c r="E11" s="30"/>
      <c r="H11" s="22"/>
      <c r="I11" s="19"/>
      <c r="J11" s="2"/>
      <c r="K11" s="2"/>
      <c r="N11" s="22"/>
      <c r="O11" s="19"/>
      <c r="P11" s="2"/>
      <c r="Q11" s="2"/>
    </row>
    <row r="12" spans="1:19" x14ac:dyDescent="0.2">
      <c r="A12" s="30"/>
      <c r="B12" s="30"/>
      <c r="C12" s="30"/>
      <c r="D12" s="30"/>
      <c r="E12" s="30"/>
    </row>
    <row r="13" spans="1:19" ht="15.75" x14ac:dyDescent="0.25">
      <c r="A13" s="296" t="s">
        <v>158</v>
      </c>
      <c r="B13" s="296"/>
      <c r="C13" s="296"/>
      <c r="D13" s="296"/>
      <c r="E13" s="296"/>
      <c r="F13" s="20"/>
      <c r="H13" s="284" t="s">
        <v>160</v>
      </c>
      <c r="I13" s="284"/>
      <c r="J13" s="284"/>
      <c r="K13" s="284"/>
      <c r="L13" s="284"/>
      <c r="N13" s="296" t="s">
        <v>162</v>
      </c>
      <c r="O13" s="296"/>
      <c r="P13" s="296"/>
      <c r="Q13" s="296"/>
      <c r="R13" s="296"/>
    </row>
    <row r="14" spans="1:19" x14ac:dyDescent="0.2">
      <c r="A14" s="30">
        <v>35</v>
      </c>
      <c r="B14" s="30">
        <v>14.3</v>
      </c>
      <c r="C14" s="30">
        <v>12</v>
      </c>
      <c r="D14" s="30">
        <v>0.17929999999999999</v>
      </c>
      <c r="E14" s="30" t="s">
        <v>227</v>
      </c>
      <c r="H14" s="31">
        <v>35</v>
      </c>
      <c r="I14" s="31">
        <v>12.68</v>
      </c>
      <c r="J14" s="31">
        <v>8.9600000000000009</v>
      </c>
      <c r="K14" s="31">
        <v>0.17929999999999999</v>
      </c>
      <c r="L14" s="35" t="s">
        <v>228</v>
      </c>
      <c r="N14" s="31">
        <v>45</v>
      </c>
      <c r="O14" s="31">
        <v>9.18</v>
      </c>
      <c r="P14" s="31">
        <v>5.0999999999999996</v>
      </c>
      <c r="Q14" s="31">
        <v>0.17929999999999999</v>
      </c>
      <c r="R14" s="30" t="s">
        <v>229</v>
      </c>
    </row>
    <row r="15" spans="1:19" x14ac:dyDescent="0.2">
      <c r="A15" s="30">
        <v>40</v>
      </c>
      <c r="B15" s="30">
        <v>14.3</v>
      </c>
      <c r="C15" s="30">
        <v>11.3</v>
      </c>
      <c r="D15" s="30">
        <v>0.17929999999999999</v>
      </c>
      <c r="E15" s="30" t="s">
        <v>230</v>
      </c>
      <c r="H15" s="31">
        <v>40</v>
      </c>
      <c r="I15" s="31">
        <v>12.8</v>
      </c>
      <c r="J15" s="31">
        <v>8.3800000000000008</v>
      </c>
      <c r="K15" s="31">
        <v>0.23910000000000001</v>
      </c>
      <c r="L15" s="35" t="s">
        <v>231</v>
      </c>
      <c r="N15" s="31">
        <v>50</v>
      </c>
      <c r="O15" s="31">
        <v>13.37</v>
      </c>
      <c r="P15" s="31">
        <v>8.48</v>
      </c>
      <c r="Q15" s="31">
        <v>0.23910000000000001</v>
      </c>
      <c r="R15" s="30" t="s">
        <v>232</v>
      </c>
    </row>
    <row r="16" spans="1:19" x14ac:dyDescent="0.2">
      <c r="A16" s="30">
        <v>45</v>
      </c>
      <c r="B16" s="30">
        <v>14.3</v>
      </c>
      <c r="C16" s="30">
        <v>10.6</v>
      </c>
      <c r="D16" s="30">
        <v>0.17929999999999999</v>
      </c>
      <c r="E16" s="30" t="s">
        <v>233</v>
      </c>
      <c r="H16" s="31">
        <v>45</v>
      </c>
      <c r="I16" s="31">
        <v>13.61</v>
      </c>
      <c r="J16" s="31">
        <v>9.18</v>
      </c>
      <c r="K16" s="31">
        <v>0.23910000000000001</v>
      </c>
      <c r="L16" s="35" t="s">
        <v>234</v>
      </c>
    </row>
    <row r="17" spans="1:12" x14ac:dyDescent="0.2">
      <c r="A17" s="30">
        <v>50</v>
      </c>
      <c r="B17" s="30">
        <v>15.45</v>
      </c>
      <c r="C17" s="30">
        <v>11</v>
      </c>
      <c r="D17" s="30">
        <v>0.23910000000000001</v>
      </c>
      <c r="E17" s="30" t="s">
        <v>235</v>
      </c>
      <c r="H17" s="31">
        <v>50</v>
      </c>
      <c r="I17" s="31">
        <v>13.41</v>
      </c>
      <c r="J17" s="31">
        <v>8.98</v>
      </c>
      <c r="K17" s="31">
        <v>0.23910000000000001</v>
      </c>
      <c r="L17" s="35" t="s">
        <v>236</v>
      </c>
    </row>
  </sheetData>
  <sheetProtection selectLockedCells="1" selectUnlockedCells="1"/>
  <mergeCells count="6">
    <mergeCell ref="A13:E13"/>
    <mergeCell ref="H1:L1"/>
    <mergeCell ref="H13:L13"/>
    <mergeCell ref="N1:R1"/>
    <mergeCell ref="N13:R13"/>
    <mergeCell ref="A1:E1"/>
  </mergeCells>
  <pageMargins left="0.75" right="0.75" top="1" bottom="1" header="0.51180555555555551" footer="0.51180555555555551"/>
  <pageSetup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5ADE1-4E4B-48C7-96EE-C4E25BA2AC59}">
  <sheetPr codeName="Sheet9">
    <tabColor theme="1"/>
  </sheetPr>
  <dimension ref="A1:BL9"/>
  <sheetViews>
    <sheetView workbookViewId="0">
      <pane xSplit="1" ySplit="2" topLeftCell="B3" activePane="bottomRight" state="frozen"/>
      <selection activeCell="J19" sqref="J19"/>
      <selection pane="topRight" activeCell="J19" sqref="J19"/>
      <selection pane="bottomLeft" activeCell="J19" sqref="J19"/>
      <selection pane="bottomRight" activeCell="J19" sqref="J19"/>
    </sheetView>
  </sheetViews>
  <sheetFormatPr defaultRowHeight="12.75" x14ac:dyDescent="0.2"/>
  <cols>
    <col min="1" max="1" width="14.42578125" bestFit="1" customWidth="1"/>
    <col min="2" max="2" width="8.28515625" style="11" bestFit="1" customWidth="1"/>
    <col min="3" max="3" width="12.5703125" bestFit="1" customWidth="1"/>
    <col min="4" max="4" width="15.140625" bestFit="1" customWidth="1"/>
    <col min="5" max="5" width="14.140625" bestFit="1" customWidth="1"/>
    <col min="6" max="8" width="14.140625" customWidth="1"/>
    <col min="9" max="9" width="15.42578125" bestFit="1" customWidth="1"/>
    <col min="10" max="10" width="8.28515625" bestFit="1" customWidth="1"/>
    <col min="11" max="11" width="12.5703125" bestFit="1" customWidth="1"/>
    <col min="12" max="12" width="15.140625" bestFit="1" customWidth="1"/>
    <col min="13" max="13" width="14.140625" bestFit="1" customWidth="1"/>
    <col min="14" max="15" width="14.140625" customWidth="1"/>
    <col min="16" max="16" width="15.42578125" bestFit="1" customWidth="1"/>
    <col min="17" max="17" width="8.28515625" bestFit="1" customWidth="1"/>
    <col min="18" max="18" width="12.5703125" bestFit="1" customWidth="1"/>
    <col min="19" max="19" width="15.140625" bestFit="1" customWidth="1"/>
    <col min="20" max="20" width="14.140625" bestFit="1" customWidth="1"/>
    <col min="21" max="22" width="14.140625" customWidth="1"/>
    <col min="23" max="23" width="15.42578125" bestFit="1" customWidth="1"/>
    <col min="24" max="24" width="8.28515625" bestFit="1" customWidth="1"/>
    <col min="25" max="25" width="12.5703125" bestFit="1" customWidth="1"/>
    <col min="26" max="26" width="15.140625" bestFit="1" customWidth="1"/>
    <col min="27" max="27" width="14.140625" bestFit="1" customWidth="1"/>
    <col min="28" max="29" width="14.140625" customWidth="1"/>
    <col min="30" max="30" width="15.42578125" bestFit="1" customWidth="1"/>
    <col min="31" max="31" width="8.28515625" bestFit="1" customWidth="1"/>
    <col min="32" max="32" width="12.5703125" bestFit="1" customWidth="1"/>
    <col min="33" max="33" width="15.140625" bestFit="1" customWidth="1"/>
    <col min="34" max="34" width="14.140625" bestFit="1" customWidth="1"/>
    <col min="35" max="36" width="14.140625" customWidth="1"/>
    <col min="37" max="37" width="15.42578125" bestFit="1" customWidth="1"/>
    <col min="38" max="38" width="12.5703125" bestFit="1" customWidth="1"/>
    <col min="39" max="39" width="15.140625" bestFit="1" customWidth="1"/>
    <col min="40" max="40" width="14.140625" bestFit="1" customWidth="1"/>
    <col min="41" max="42" width="14.140625" customWidth="1"/>
    <col min="43" max="44" width="15.42578125" bestFit="1" customWidth="1"/>
    <col min="45" max="45" width="8.28515625" bestFit="1" customWidth="1"/>
    <col min="46" max="46" width="12.5703125" bestFit="1" customWidth="1"/>
    <col min="47" max="47" width="14.5703125" bestFit="1" customWidth="1"/>
    <col min="48" max="48" width="13.5703125" bestFit="1" customWidth="1"/>
    <col min="49" max="49" width="13.42578125" bestFit="1" customWidth="1"/>
    <col min="50" max="50" width="12.7109375" bestFit="1" customWidth="1"/>
    <col min="51" max="51" width="15.42578125" bestFit="1" customWidth="1"/>
    <col min="52" max="52" width="8.28515625" bestFit="1" customWidth="1"/>
    <col min="53" max="53" width="12.5703125" bestFit="1" customWidth="1"/>
    <col min="54" max="54" width="14.5703125" bestFit="1" customWidth="1"/>
    <col min="55" max="55" width="13.5703125" bestFit="1" customWidth="1"/>
    <col min="56" max="56" width="13.42578125" bestFit="1" customWidth="1"/>
    <col min="57" max="57" width="12.7109375" bestFit="1" customWidth="1"/>
    <col min="58" max="58" width="15.42578125" bestFit="1" customWidth="1"/>
    <col min="59" max="59" width="12.5703125" bestFit="1" customWidth="1"/>
    <col min="60" max="60" width="14.5703125" bestFit="1" customWidth="1"/>
    <col min="61" max="61" width="13.5703125" bestFit="1" customWidth="1"/>
    <col min="62" max="62" width="13.42578125" bestFit="1" customWidth="1"/>
    <col min="63" max="63" width="12.7109375" bestFit="1" customWidth="1"/>
    <col min="64" max="64" width="15.42578125" bestFit="1" customWidth="1"/>
  </cols>
  <sheetData>
    <row r="1" spans="1:64" ht="15" x14ac:dyDescent="0.25">
      <c r="A1" s="30"/>
      <c r="B1" s="297" t="s">
        <v>116</v>
      </c>
      <c r="C1" s="298"/>
      <c r="D1" s="298"/>
      <c r="E1" s="298"/>
      <c r="F1" s="298"/>
      <c r="G1" s="298"/>
      <c r="H1" s="298"/>
      <c r="I1" s="299"/>
      <c r="J1" s="297" t="s">
        <v>209</v>
      </c>
      <c r="K1" s="298"/>
      <c r="L1" s="298"/>
      <c r="M1" s="298"/>
      <c r="N1" s="298"/>
      <c r="O1" s="298"/>
      <c r="P1" s="299"/>
      <c r="Q1" s="297" t="s">
        <v>210</v>
      </c>
      <c r="R1" s="298"/>
      <c r="S1" s="298"/>
      <c r="T1" s="298"/>
      <c r="U1" s="298"/>
      <c r="V1" s="298"/>
      <c r="W1" s="299"/>
      <c r="X1" s="297" t="s">
        <v>211</v>
      </c>
      <c r="Y1" s="298"/>
      <c r="Z1" s="298"/>
      <c r="AA1" s="298"/>
      <c r="AB1" s="298"/>
      <c r="AC1" s="298"/>
      <c r="AD1" s="299"/>
      <c r="AE1" s="297" t="s">
        <v>119</v>
      </c>
      <c r="AF1" s="298"/>
      <c r="AG1" s="298"/>
      <c r="AH1" s="298"/>
      <c r="AI1" s="298"/>
      <c r="AJ1" s="298"/>
      <c r="AK1" s="299"/>
      <c r="AL1" s="297" t="s">
        <v>120</v>
      </c>
      <c r="AM1" s="298"/>
      <c r="AN1" s="298"/>
      <c r="AO1" s="298"/>
      <c r="AP1" s="298"/>
      <c r="AQ1" s="298"/>
      <c r="AR1" s="299"/>
      <c r="AS1" s="297" t="s">
        <v>121</v>
      </c>
      <c r="AT1" s="298"/>
      <c r="AU1" s="298"/>
      <c r="AV1" s="298"/>
      <c r="AW1" s="298"/>
      <c r="AX1" s="298"/>
      <c r="AY1" s="299"/>
      <c r="AZ1" s="297" t="s">
        <v>122</v>
      </c>
      <c r="BA1" s="298"/>
      <c r="BB1" s="298"/>
      <c r="BC1" s="298"/>
      <c r="BD1" s="298"/>
      <c r="BE1" s="298"/>
      <c r="BF1" s="299"/>
      <c r="BG1" s="297" t="s">
        <v>123</v>
      </c>
      <c r="BH1" s="298"/>
      <c r="BI1" s="298"/>
      <c r="BJ1" s="298"/>
      <c r="BK1" s="298"/>
      <c r="BL1" s="299"/>
    </row>
    <row r="2" spans="1:64" ht="18" x14ac:dyDescent="0.35">
      <c r="A2" s="38" t="s">
        <v>115</v>
      </c>
      <c r="B2" s="38" t="s">
        <v>117</v>
      </c>
      <c r="C2" s="38" t="s">
        <v>118</v>
      </c>
      <c r="D2" s="38" t="s">
        <v>185</v>
      </c>
      <c r="E2" s="38" t="s">
        <v>186</v>
      </c>
      <c r="F2" s="38" t="s">
        <v>291</v>
      </c>
      <c r="G2" s="38" t="s">
        <v>187</v>
      </c>
      <c r="H2" s="38" t="s">
        <v>188</v>
      </c>
      <c r="I2" s="38" t="s">
        <v>155</v>
      </c>
      <c r="J2" s="38" t="s">
        <v>117</v>
      </c>
      <c r="K2" s="38" t="s">
        <v>118</v>
      </c>
      <c r="L2" s="38" t="s">
        <v>185</v>
      </c>
      <c r="M2" s="38" t="s">
        <v>186</v>
      </c>
      <c r="N2" s="38" t="s">
        <v>187</v>
      </c>
      <c r="O2" s="38" t="s">
        <v>188</v>
      </c>
      <c r="P2" s="38" t="s">
        <v>155</v>
      </c>
      <c r="Q2" s="38" t="s">
        <v>117</v>
      </c>
      <c r="R2" s="38" t="s">
        <v>118</v>
      </c>
      <c r="S2" s="38" t="s">
        <v>185</v>
      </c>
      <c r="T2" s="38" t="s">
        <v>186</v>
      </c>
      <c r="U2" s="38" t="s">
        <v>187</v>
      </c>
      <c r="V2" s="38" t="s">
        <v>188</v>
      </c>
      <c r="W2" s="38" t="s">
        <v>155</v>
      </c>
      <c r="X2" s="38" t="s">
        <v>117</v>
      </c>
      <c r="Y2" s="38" t="s">
        <v>118</v>
      </c>
      <c r="Z2" s="38" t="s">
        <v>185</v>
      </c>
      <c r="AA2" s="38" t="s">
        <v>186</v>
      </c>
      <c r="AB2" s="38" t="s">
        <v>187</v>
      </c>
      <c r="AC2" s="38" t="s">
        <v>188</v>
      </c>
      <c r="AD2" s="38" t="s">
        <v>155</v>
      </c>
      <c r="AE2" s="38" t="s">
        <v>117</v>
      </c>
      <c r="AF2" s="38" t="s">
        <v>118</v>
      </c>
      <c r="AG2" s="38" t="s">
        <v>185</v>
      </c>
      <c r="AH2" s="38" t="s">
        <v>186</v>
      </c>
      <c r="AI2" s="38" t="s">
        <v>187</v>
      </c>
      <c r="AJ2" s="38" t="s">
        <v>188</v>
      </c>
      <c r="AK2" s="38" t="s">
        <v>155</v>
      </c>
      <c r="AL2" s="38" t="s">
        <v>117</v>
      </c>
      <c r="AM2" s="38" t="s">
        <v>118</v>
      </c>
      <c r="AN2" s="38" t="s">
        <v>185</v>
      </c>
      <c r="AO2" s="38" t="s">
        <v>186</v>
      </c>
      <c r="AP2" s="38" t="s">
        <v>187</v>
      </c>
      <c r="AQ2" s="38" t="s">
        <v>188</v>
      </c>
      <c r="AR2" s="38" t="s">
        <v>155</v>
      </c>
      <c r="AS2" s="38" t="s">
        <v>117</v>
      </c>
      <c r="AT2" s="38" t="s">
        <v>118</v>
      </c>
      <c r="AU2" s="38" t="s">
        <v>185</v>
      </c>
      <c r="AV2" s="38" t="s">
        <v>186</v>
      </c>
      <c r="AW2" s="38" t="s">
        <v>187</v>
      </c>
      <c r="AX2" s="38" t="s">
        <v>188</v>
      </c>
      <c r="AY2" s="38" t="s">
        <v>155</v>
      </c>
      <c r="AZ2" s="38" t="s">
        <v>117</v>
      </c>
      <c r="BA2" s="38" t="s">
        <v>118</v>
      </c>
      <c r="BB2" s="38" t="s">
        <v>185</v>
      </c>
      <c r="BC2" s="38" t="s">
        <v>186</v>
      </c>
      <c r="BD2" s="38" t="s">
        <v>187</v>
      </c>
      <c r="BE2" s="38" t="s">
        <v>188</v>
      </c>
      <c r="BF2" s="38" t="s">
        <v>155</v>
      </c>
      <c r="BG2" s="38" t="s">
        <v>118</v>
      </c>
      <c r="BH2" s="38" t="s">
        <v>185</v>
      </c>
      <c r="BI2" s="38" t="s">
        <v>186</v>
      </c>
      <c r="BJ2" s="38" t="s">
        <v>187</v>
      </c>
      <c r="BK2" s="38" t="s">
        <v>188</v>
      </c>
      <c r="BL2" s="38" t="s">
        <v>155</v>
      </c>
    </row>
    <row r="3" spans="1:64" x14ac:dyDescent="0.2">
      <c r="A3" s="30">
        <v>20</v>
      </c>
      <c r="B3" s="36">
        <v>4.5</v>
      </c>
      <c r="C3" s="36">
        <v>90</v>
      </c>
      <c r="D3" s="37">
        <v>14.93</v>
      </c>
      <c r="E3" s="37">
        <f>D3*B3</f>
        <v>67.185000000000002</v>
      </c>
      <c r="F3" s="100">
        <v>1.29</v>
      </c>
      <c r="G3" s="100">
        <v>3.93</v>
      </c>
      <c r="H3" s="101">
        <f t="shared" ref="H3:H9" si="0">G3*B3</f>
        <v>17.685000000000002</v>
      </c>
      <c r="I3" s="37">
        <f t="shared" ref="I3:I9" si="1">C3*B3</f>
        <v>405</v>
      </c>
      <c r="J3" s="36">
        <f t="shared" ref="J3:J9" si="2">A3</f>
        <v>20</v>
      </c>
      <c r="K3" s="36">
        <v>22.4</v>
      </c>
      <c r="L3" s="100">
        <v>2.11</v>
      </c>
      <c r="M3" s="37">
        <f>L3*J3</f>
        <v>42.199999999999996</v>
      </c>
      <c r="N3" s="100">
        <v>2.02</v>
      </c>
      <c r="O3" s="101">
        <f>N3*J3</f>
        <v>40.4</v>
      </c>
      <c r="P3" s="37">
        <f>K3*J3</f>
        <v>448</v>
      </c>
      <c r="Q3" s="36">
        <f t="shared" ref="Q3:Q9" si="3">A3</f>
        <v>20</v>
      </c>
      <c r="R3" s="36">
        <v>4.2</v>
      </c>
      <c r="S3" s="100">
        <v>0.97</v>
      </c>
      <c r="T3" s="37">
        <f>S3*Q3</f>
        <v>19.399999999999999</v>
      </c>
      <c r="U3" s="100">
        <v>0.97</v>
      </c>
      <c r="V3" s="101">
        <f>U3*Q3</f>
        <v>19.399999999999999</v>
      </c>
      <c r="W3" s="37">
        <f>R3*Q3</f>
        <v>84</v>
      </c>
      <c r="X3" s="36">
        <f t="shared" ref="X3:X9" si="4">0.5*A3</f>
        <v>10</v>
      </c>
      <c r="Y3" s="36">
        <v>4.2</v>
      </c>
      <c r="Z3" s="100">
        <v>0.97</v>
      </c>
      <c r="AA3" s="37">
        <f>Z3*X3</f>
        <v>9.6999999999999993</v>
      </c>
      <c r="AB3" s="100">
        <v>0.97</v>
      </c>
      <c r="AC3" s="101">
        <f>AB3*X3</f>
        <v>9.6999999999999993</v>
      </c>
      <c r="AD3" s="37">
        <f>Y3*X3</f>
        <v>42</v>
      </c>
      <c r="AE3" s="36">
        <v>0</v>
      </c>
      <c r="AF3" s="36">
        <v>0</v>
      </c>
      <c r="AG3" s="36">
        <v>0</v>
      </c>
      <c r="AH3" s="36">
        <f>AG3*AE3</f>
        <v>0</v>
      </c>
      <c r="AI3" s="36">
        <f>AH3*AF3</f>
        <v>0</v>
      </c>
      <c r="AJ3" s="36">
        <f>AI3*AE3</f>
        <v>0</v>
      </c>
      <c r="AK3" s="37">
        <f>AF3*AE3</f>
        <v>0</v>
      </c>
      <c r="AL3" s="36">
        <v>12</v>
      </c>
      <c r="AM3" s="36">
        <v>43</v>
      </c>
      <c r="AN3" s="37">
        <v>8.67</v>
      </c>
      <c r="AO3" s="37">
        <f>AN3*AL3</f>
        <v>104.03999999999999</v>
      </c>
      <c r="AP3" s="76">
        <f>'Equipment Wt &amp; Ht'!$H$12</f>
        <v>1.53</v>
      </c>
      <c r="AQ3" s="37">
        <f>AP3*AL3</f>
        <v>18.36</v>
      </c>
      <c r="AR3" s="37">
        <f>AM3*AL3</f>
        <v>516</v>
      </c>
      <c r="AS3" s="36">
        <v>20</v>
      </c>
      <c r="AT3" s="36">
        <v>43</v>
      </c>
      <c r="AU3" s="37">
        <v>8.67</v>
      </c>
      <c r="AV3" s="37">
        <f>AU3*AS3</f>
        <v>173.4</v>
      </c>
      <c r="AW3" s="76">
        <f>'Equipment Wt &amp; Ht'!$H$12</f>
        <v>1.53</v>
      </c>
      <c r="AX3" s="37">
        <f>AW3*AS3</f>
        <v>30.6</v>
      </c>
      <c r="AY3" s="37">
        <f>AT3*AS3</f>
        <v>860</v>
      </c>
      <c r="AZ3" s="36">
        <v>0</v>
      </c>
      <c r="BA3" s="36">
        <v>0</v>
      </c>
      <c r="BB3" s="37">
        <v>0</v>
      </c>
      <c r="BC3" s="37">
        <f>BB3*AZ3</f>
        <v>0</v>
      </c>
      <c r="BD3" s="37">
        <v>0</v>
      </c>
      <c r="BE3" s="37">
        <f t="shared" ref="BE3:BE5" si="5">BD3*AZ3</f>
        <v>0</v>
      </c>
      <c r="BF3" s="37">
        <f>BA3*AZ3</f>
        <v>0</v>
      </c>
      <c r="BG3" s="37">
        <f t="shared" ref="BG3:BI8" si="6">SUM(C3,K3,R3,Y3,AF3,AM3,AT3,BA3)</f>
        <v>206.8</v>
      </c>
      <c r="BH3" s="100">
        <f t="shared" si="6"/>
        <v>36.32</v>
      </c>
      <c r="BI3" s="37">
        <f t="shared" si="6"/>
        <v>415.92499999999995</v>
      </c>
      <c r="BJ3" s="100">
        <f>SUM(G3,N3,U3,AB3,AI3,AP3,AW3,BD3)</f>
        <v>10.95</v>
      </c>
      <c r="BK3" s="37">
        <f t="shared" ref="BJ3:BL8" si="7">SUM(H3,O3,V3,AC3,AJ3,AQ3,AX3,BE3)</f>
        <v>136.14500000000001</v>
      </c>
      <c r="BL3" s="37">
        <f>SUM(I3,P3,W3,AD3,AK3,AR3,AY3,BF3)</f>
        <v>2355</v>
      </c>
    </row>
    <row r="4" spans="1:64" x14ac:dyDescent="0.2">
      <c r="A4" s="30">
        <v>25</v>
      </c>
      <c r="B4" s="36">
        <v>4.5</v>
      </c>
      <c r="C4" s="36">
        <v>90</v>
      </c>
      <c r="D4" s="37">
        <v>14.93</v>
      </c>
      <c r="E4" s="37">
        <f t="shared" ref="E4:E9" si="8">D4*B4</f>
        <v>67.185000000000002</v>
      </c>
      <c r="F4" s="100">
        <v>1.29</v>
      </c>
      <c r="G4" s="100">
        <v>3.93</v>
      </c>
      <c r="H4" s="101">
        <f t="shared" si="0"/>
        <v>17.685000000000002</v>
      </c>
      <c r="I4" s="37">
        <f t="shared" si="1"/>
        <v>405</v>
      </c>
      <c r="J4" s="36">
        <f t="shared" si="2"/>
        <v>25</v>
      </c>
      <c r="K4" s="36">
        <v>22.4</v>
      </c>
      <c r="L4" s="100">
        <v>2.11</v>
      </c>
      <c r="M4" s="37">
        <f t="shared" ref="M4:M9" si="9">L4*J4</f>
        <v>52.75</v>
      </c>
      <c r="N4" s="100">
        <v>2.02</v>
      </c>
      <c r="O4" s="101">
        <f t="shared" ref="O4:O9" si="10">N4*J4</f>
        <v>50.5</v>
      </c>
      <c r="P4" s="37">
        <f t="shared" ref="P4:P9" si="11">K4*J4</f>
        <v>560</v>
      </c>
      <c r="Q4" s="36">
        <f t="shared" si="3"/>
        <v>25</v>
      </c>
      <c r="R4" s="36">
        <v>4.2</v>
      </c>
      <c r="S4" s="100">
        <v>0.97</v>
      </c>
      <c r="T4" s="37">
        <f t="shared" ref="T4:T9" si="12">S4*Q4</f>
        <v>24.25</v>
      </c>
      <c r="U4" s="100">
        <v>0.97</v>
      </c>
      <c r="V4" s="101">
        <f t="shared" ref="V4:V9" si="13">U4*Q4</f>
        <v>24.25</v>
      </c>
      <c r="W4" s="37">
        <f t="shared" ref="W4:W9" si="14">R4*Q4</f>
        <v>105</v>
      </c>
      <c r="X4" s="36">
        <f t="shared" si="4"/>
        <v>12.5</v>
      </c>
      <c r="Y4" s="36">
        <v>4.2</v>
      </c>
      <c r="Z4" s="100">
        <v>0.97</v>
      </c>
      <c r="AA4" s="37">
        <f t="shared" ref="AA4:AA9" si="15">Z4*X4</f>
        <v>12.125</v>
      </c>
      <c r="AB4" s="100">
        <v>0.97</v>
      </c>
      <c r="AC4" s="101">
        <f t="shared" ref="AC4:AC9" si="16">AB4*X4</f>
        <v>12.125</v>
      </c>
      <c r="AD4" s="37">
        <f t="shared" ref="AD4:AD9" si="17">Y4*X4</f>
        <v>52.5</v>
      </c>
      <c r="AE4" s="36">
        <v>0</v>
      </c>
      <c r="AF4" s="36">
        <v>0</v>
      </c>
      <c r="AG4" s="36">
        <v>0</v>
      </c>
      <c r="AH4" s="36">
        <f t="shared" ref="AH4:AI8" si="18">AG4*AE4</f>
        <v>0</v>
      </c>
      <c r="AI4" s="36">
        <f t="shared" si="18"/>
        <v>0</v>
      </c>
      <c r="AJ4" s="36">
        <f t="shared" ref="AJ4:AJ8" si="19">AI4*AE4</f>
        <v>0</v>
      </c>
      <c r="AK4" s="37">
        <f t="shared" ref="AK4:AK8" si="20">AF4*AE4</f>
        <v>0</v>
      </c>
      <c r="AL4" s="36">
        <v>17</v>
      </c>
      <c r="AM4" s="36">
        <v>43</v>
      </c>
      <c r="AN4" s="37">
        <v>8.67</v>
      </c>
      <c r="AO4" s="37">
        <f t="shared" ref="AO4:AO9" si="21">AN4*AL4</f>
        <v>147.38999999999999</v>
      </c>
      <c r="AP4" s="76">
        <f>'Equipment Wt &amp; Ht'!$H$12</f>
        <v>1.53</v>
      </c>
      <c r="AQ4" s="37">
        <f t="shared" ref="AQ4:AQ9" si="22">AP4*AL4</f>
        <v>26.01</v>
      </c>
      <c r="AR4" s="37">
        <f t="shared" ref="AR4:AR9" si="23">AM4*AL4</f>
        <v>731</v>
      </c>
      <c r="AS4" s="36">
        <v>25</v>
      </c>
      <c r="AT4" s="36">
        <v>43</v>
      </c>
      <c r="AU4" s="37">
        <v>8.67</v>
      </c>
      <c r="AV4" s="37">
        <f t="shared" ref="AV4:AV9" si="24">AU4*AS4</f>
        <v>216.75</v>
      </c>
      <c r="AW4" s="76">
        <f>'Equipment Wt &amp; Ht'!$H$12</f>
        <v>1.53</v>
      </c>
      <c r="AX4" s="37">
        <f t="shared" ref="AX4:AX9" si="25">AW4*AS4</f>
        <v>38.25</v>
      </c>
      <c r="AY4" s="37">
        <f t="shared" ref="AY4:AY9" si="26">AT4*AS4</f>
        <v>1075</v>
      </c>
      <c r="AZ4" s="36">
        <v>0</v>
      </c>
      <c r="BA4" s="36">
        <v>0</v>
      </c>
      <c r="BB4" s="37">
        <v>0</v>
      </c>
      <c r="BC4" s="37">
        <f t="shared" ref="BC4:BC9" si="27">BB4*AZ4</f>
        <v>0</v>
      </c>
      <c r="BD4" s="37">
        <v>0</v>
      </c>
      <c r="BE4" s="37">
        <f t="shared" si="5"/>
        <v>0</v>
      </c>
      <c r="BF4" s="37">
        <f t="shared" ref="BF4:BF9" si="28">BA4*AZ4</f>
        <v>0</v>
      </c>
      <c r="BG4" s="37">
        <f t="shared" si="6"/>
        <v>206.8</v>
      </c>
      <c r="BH4" s="100">
        <f t="shared" si="6"/>
        <v>36.32</v>
      </c>
      <c r="BI4" s="37">
        <f t="shared" si="6"/>
        <v>520.45000000000005</v>
      </c>
      <c r="BJ4" s="100">
        <f t="shared" si="7"/>
        <v>10.95</v>
      </c>
      <c r="BK4" s="37">
        <f t="shared" si="7"/>
        <v>168.82</v>
      </c>
      <c r="BL4" s="37">
        <f t="shared" si="7"/>
        <v>2928.5</v>
      </c>
    </row>
    <row r="5" spans="1:64" x14ac:dyDescent="0.2">
      <c r="A5" s="30">
        <v>30</v>
      </c>
      <c r="B5" s="36">
        <v>4.5</v>
      </c>
      <c r="C5" s="36">
        <v>90</v>
      </c>
      <c r="D5" s="37">
        <v>14.93</v>
      </c>
      <c r="E5" s="37">
        <f t="shared" si="8"/>
        <v>67.185000000000002</v>
      </c>
      <c r="F5" s="100">
        <v>1.29</v>
      </c>
      <c r="G5" s="100">
        <v>3.93</v>
      </c>
      <c r="H5" s="101">
        <f t="shared" si="0"/>
        <v>17.685000000000002</v>
      </c>
      <c r="I5" s="37">
        <f t="shared" si="1"/>
        <v>405</v>
      </c>
      <c r="J5" s="36">
        <f t="shared" si="2"/>
        <v>30</v>
      </c>
      <c r="K5" s="36">
        <v>22.4</v>
      </c>
      <c r="L5" s="100">
        <v>2.11</v>
      </c>
      <c r="M5" s="37">
        <f t="shared" si="9"/>
        <v>63.3</v>
      </c>
      <c r="N5" s="100">
        <v>2.02</v>
      </c>
      <c r="O5" s="101">
        <f t="shared" si="10"/>
        <v>60.6</v>
      </c>
      <c r="P5" s="37">
        <f t="shared" si="11"/>
        <v>672</v>
      </c>
      <c r="Q5" s="36">
        <f t="shared" si="3"/>
        <v>30</v>
      </c>
      <c r="R5" s="36">
        <v>4.2</v>
      </c>
      <c r="S5" s="100">
        <v>0.97</v>
      </c>
      <c r="T5" s="37">
        <f t="shared" si="12"/>
        <v>29.099999999999998</v>
      </c>
      <c r="U5" s="100">
        <v>0.97</v>
      </c>
      <c r="V5" s="101">
        <f t="shared" si="13"/>
        <v>29.099999999999998</v>
      </c>
      <c r="W5" s="37">
        <f t="shared" si="14"/>
        <v>126</v>
      </c>
      <c r="X5" s="36">
        <f t="shared" si="4"/>
        <v>15</v>
      </c>
      <c r="Y5" s="36">
        <v>4.2</v>
      </c>
      <c r="Z5" s="100">
        <v>0.97</v>
      </c>
      <c r="AA5" s="37">
        <f t="shared" si="15"/>
        <v>14.549999999999999</v>
      </c>
      <c r="AB5" s="100">
        <v>0.97</v>
      </c>
      <c r="AC5" s="101">
        <f t="shared" si="16"/>
        <v>14.549999999999999</v>
      </c>
      <c r="AD5" s="37">
        <f t="shared" si="17"/>
        <v>63</v>
      </c>
      <c r="AE5" s="36">
        <v>0</v>
      </c>
      <c r="AF5" s="36">
        <v>0</v>
      </c>
      <c r="AG5" s="36">
        <v>0</v>
      </c>
      <c r="AH5" s="36">
        <f t="shared" si="18"/>
        <v>0</v>
      </c>
      <c r="AI5" s="36">
        <f t="shared" si="18"/>
        <v>0</v>
      </c>
      <c r="AJ5" s="36">
        <f t="shared" si="19"/>
        <v>0</v>
      </c>
      <c r="AK5" s="37">
        <f t="shared" si="20"/>
        <v>0</v>
      </c>
      <c r="AL5" s="36">
        <v>22</v>
      </c>
      <c r="AM5" s="36">
        <v>43</v>
      </c>
      <c r="AN5" s="37">
        <v>8.67</v>
      </c>
      <c r="AO5" s="37">
        <f t="shared" si="21"/>
        <v>190.74</v>
      </c>
      <c r="AP5" s="76">
        <f>'Equipment Wt &amp; Ht'!$H$12</f>
        <v>1.53</v>
      </c>
      <c r="AQ5" s="37">
        <f t="shared" si="22"/>
        <v>33.660000000000004</v>
      </c>
      <c r="AR5" s="37">
        <f t="shared" si="23"/>
        <v>946</v>
      </c>
      <c r="AS5" s="36">
        <v>30</v>
      </c>
      <c r="AT5" s="36">
        <v>43</v>
      </c>
      <c r="AU5" s="37">
        <v>8.67</v>
      </c>
      <c r="AV5" s="37">
        <f t="shared" si="24"/>
        <v>260.10000000000002</v>
      </c>
      <c r="AW5" s="76">
        <f>'Equipment Wt &amp; Ht'!$H$12</f>
        <v>1.53</v>
      </c>
      <c r="AX5" s="37">
        <f t="shared" si="25"/>
        <v>45.9</v>
      </c>
      <c r="AY5" s="37">
        <f t="shared" si="26"/>
        <v>1290</v>
      </c>
      <c r="AZ5" s="36">
        <v>0</v>
      </c>
      <c r="BA5" s="36">
        <v>0</v>
      </c>
      <c r="BB5" s="37">
        <v>0</v>
      </c>
      <c r="BC5" s="37">
        <f t="shared" si="27"/>
        <v>0</v>
      </c>
      <c r="BD5" s="37">
        <v>0</v>
      </c>
      <c r="BE5" s="37">
        <f t="shared" si="5"/>
        <v>0</v>
      </c>
      <c r="BF5" s="37">
        <f t="shared" si="28"/>
        <v>0</v>
      </c>
      <c r="BG5" s="37">
        <f t="shared" si="6"/>
        <v>206.8</v>
      </c>
      <c r="BH5" s="100">
        <f t="shared" si="6"/>
        <v>36.32</v>
      </c>
      <c r="BI5" s="37">
        <f t="shared" si="6"/>
        <v>624.97500000000002</v>
      </c>
      <c r="BJ5" s="100">
        <f t="shared" si="7"/>
        <v>10.95</v>
      </c>
      <c r="BK5" s="37">
        <f t="shared" si="7"/>
        <v>201.495</v>
      </c>
      <c r="BL5" s="37">
        <f t="shared" si="7"/>
        <v>3502</v>
      </c>
    </row>
    <row r="6" spans="1:64" x14ac:dyDescent="0.2">
      <c r="A6" s="30">
        <v>35</v>
      </c>
      <c r="B6" s="36">
        <v>4.5</v>
      </c>
      <c r="C6" s="36">
        <v>90</v>
      </c>
      <c r="D6" s="37">
        <v>14.93</v>
      </c>
      <c r="E6" s="37">
        <f t="shared" si="8"/>
        <v>67.185000000000002</v>
      </c>
      <c r="F6" s="100">
        <v>1.29</v>
      </c>
      <c r="G6" s="100">
        <v>3.93</v>
      </c>
      <c r="H6" s="101">
        <f t="shared" si="0"/>
        <v>17.685000000000002</v>
      </c>
      <c r="I6" s="37">
        <f t="shared" si="1"/>
        <v>405</v>
      </c>
      <c r="J6" s="36">
        <f t="shared" si="2"/>
        <v>35</v>
      </c>
      <c r="K6" s="36">
        <v>22.4</v>
      </c>
      <c r="L6" s="100">
        <v>2.11</v>
      </c>
      <c r="M6" s="37">
        <f t="shared" si="9"/>
        <v>73.849999999999994</v>
      </c>
      <c r="N6" s="100">
        <v>2.02</v>
      </c>
      <c r="O6" s="101">
        <f t="shared" si="10"/>
        <v>70.7</v>
      </c>
      <c r="P6" s="37">
        <f t="shared" si="11"/>
        <v>784</v>
      </c>
      <c r="Q6" s="36">
        <f t="shared" si="3"/>
        <v>35</v>
      </c>
      <c r="R6" s="36">
        <v>4.2</v>
      </c>
      <c r="S6" s="100">
        <v>0.97</v>
      </c>
      <c r="T6" s="37">
        <f t="shared" si="12"/>
        <v>33.949999999999996</v>
      </c>
      <c r="U6" s="100">
        <v>0.97</v>
      </c>
      <c r="V6" s="101">
        <f t="shared" si="13"/>
        <v>33.949999999999996</v>
      </c>
      <c r="W6" s="37">
        <f t="shared" si="14"/>
        <v>147</v>
      </c>
      <c r="X6" s="36">
        <f t="shared" si="4"/>
        <v>17.5</v>
      </c>
      <c r="Y6" s="36">
        <v>4.2</v>
      </c>
      <c r="Z6" s="100">
        <v>0.97</v>
      </c>
      <c r="AA6" s="37">
        <f t="shared" si="15"/>
        <v>16.974999999999998</v>
      </c>
      <c r="AB6" s="100">
        <v>0.97</v>
      </c>
      <c r="AC6" s="101">
        <f t="shared" si="16"/>
        <v>16.974999999999998</v>
      </c>
      <c r="AD6" s="37">
        <f t="shared" si="17"/>
        <v>73.5</v>
      </c>
      <c r="AE6" s="36">
        <v>0</v>
      </c>
      <c r="AF6" s="36">
        <v>0</v>
      </c>
      <c r="AG6" s="36">
        <v>0</v>
      </c>
      <c r="AH6" s="36">
        <f t="shared" si="18"/>
        <v>0</v>
      </c>
      <c r="AI6" s="36">
        <f t="shared" si="18"/>
        <v>0</v>
      </c>
      <c r="AJ6" s="36">
        <f t="shared" si="19"/>
        <v>0</v>
      </c>
      <c r="AK6" s="37">
        <f t="shared" si="20"/>
        <v>0</v>
      </c>
      <c r="AL6" s="36">
        <v>19</v>
      </c>
      <c r="AM6" s="36">
        <v>75</v>
      </c>
      <c r="AN6" s="37">
        <v>10.92</v>
      </c>
      <c r="AO6" s="37">
        <f t="shared" si="21"/>
        <v>207.48</v>
      </c>
      <c r="AP6" s="76">
        <v>2.25</v>
      </c>
      <c r="AQ6" s="37">
        <f t="shared" si="22"/>
        <v>42.75</v>
      </c>
      <c r="AR6" s="37">
        <f t="shared" si="23"/>
        <v>1425</v>
      </c>
      <c r="AS6" s="36">
        <v>27</v>
      </c>
      <c r="AT6" s="36">
        <v>75</v>
      </c>
      <c r="AU6" s="37">
        <v>10.92</v>
      </c>
      <c r="AV6" s="37">
        <f t="shared" si="24"/>
        <v>294.83999999999997</v>
      </c>
      <c r="AW6" s="76">
        <v>2.25</v>
      </c>
      <c r="AX6" s="37">
        <f t="shared" si="25"/>
        <v>60.75</v>
      </c>
      <c r="AY6" s="37">
        <f t="shared" si="26"/>
        <v>2025</v>
      </c>
      <c r="AZ6" s="36">
        <v>35</v>
      </c>
      <c r="BA6" s="36">
        <v>69</v>
      </c>
      <c r="BB6" s="37">
        <v>13.72</v>
      </c>
      <c r="BC6" s="37">
        <f t="shared" si="27"/>
        <v>480.20000000000005</v>
      </c>
      <c r="BD6" s="76">
        <v>3.02</v>
      </c>
      <c r="BE6" s="37">
        <f>BD6*AZ6</f>
        <v>105.7</v>
      </c>
      <c r="BF6" s="37">
        <f t="shared" si="28"/>
        <v>2415</v>
      </c>
      <c r="BG6" s="37">
        <f t="shared" si="6"/>
        <v>339.8</v>
      </c>
      <c r="BH6" s="100">
        <f t="shared" si="6"/>
        <v>54.54</v>
      </c>
      <c r="BI6" s="37">
        <f t="shared" si="6"/>
        <v>1174.48</v>
      </c>
      <c r="BJ6" s="100">
        <f t="shared" si="7"/>
        <v>15.41</v>
      </c>
      <c r="BK6" s="37">
        <f t="shared" si="7"/>
        <v>348.51</v>
      </c>
      <c r="BL6" s="37">
        <f t="shared" si="7"/>
        <v>7274.5</v>
      </c>
    </row>
    <row r="7" spans="1:64" x14ac:dyDescent="0.2">
      <c r="A7" s="30">
        <v>40</v>
      </c>
      <c r="B7" s="36">
        <v>4.5</v>
      </c>
      <c r="C7" s="36">
        <v>90</v>
      </c>
      <c r="D7" s="37">
        <v>14.93</v>
      </c>
      <c r="E7" s="37">
        <f t="shared" si="8"/>
        <v>67.185000000000002</v>
      </c>
      <c r="F7" s="100">
        <v>1.29</v>
      </c>
      <c r="G7" s="100">
        <v>3.93</v>
      </c>
      <c r="H7" s="101">
        <f t="shared" si="0"/>
        <v>17.685000000000002</v>
      </c>
      <c r="I7" s="37">
        <f t="shared" si="1"/>
        <v>405</v>
      </c>
      <c r="J7" s="36">
        <f t="shared" si="2"/>
        <v>40</v>
      </c>
      <c r="K7" s="36">
        <v>22.4</v>
      </c>
      <c r="L7" s="100">
        <v>2.11</v>
      </c>
      <c r="M7" s="37">
        <f t="shared" si="9"/>
        <v>84.399999999999991</v>
      </c>
      <c r="N7" s="100">
        <v>2.02</v>
      </c>
      <c r="O7" s="101">
        <f t="shared" si="10"/>
        <v>80.8</v>
      </c>
      <c r="P7" s="37">
        <f t="shared" si="11"/>
        <v>896</v>
      </c>
      <c r="Q7" s="36">
        <f t="shared" si="3"/>
        <v>40</v>
      </c>
      <c r="R7" s="36">
        <v>4.2</v>
      </c>
      <c r="S7" s="100">
        <v>0.97</v>
      </c>
      <c r="T7" s="37">
        <f t="shared" si="12"/>
        <v>38.799999999999997</v>
      </c>
      <c r="U7" s="100">
        <v>0.97</v>
      </c>
      <c r="V7" s="101">
        <f t="shared" si="13"/>
        <v>38.799999999999997</v>
      </c>
      <c r="W7" s="37">
        <f t="shared" si="14"/>
        <v>168</v>
      </c>
      <c r="X7" s="36">
        <f t="shared" si="4"/>
        <v>20</v>
      </c>
      <c r="Y7" s="36">
        <v>4.2</v>
      </c>
      <c r="Z7" s="100">
        <v>0.97</v>
      </c>
      <c r="AA7" s="37">
        <f t="shared" si="15"/>
        <v>19.399999999999999</v>
      </c>
      <c r="AB7" s="100">
        <v>0.97</v>
      </c>
      <c r="AC7" s="101">
        <f t="shared" si="16"/>
        <v>19.399999999999999</v>
      </c>
      <c r="AD7" s="37">
        <f t="shared" si="17"/>
        <v>84</v>
      </c>
      <c r="AE7" s="36">
        <v>0</v>
      </c>
      <c r="AF7" s="36">
        <v>0</v>
      </c>
      <c r="AG7" s="36">
        <v>0</v>
      </c>
      <c r="AH7" s="36">
        <f t="shared" si="18"/>
        <v>0</v>
      </c>
      <c r="AI7" s="36">
        <f t="shared" si="18"/>
        <v>0</v>
      </c>
      <c r="AJ7" s="36">
        <f t="shared" si="19"/>
        <v>0</v>
      </c>
      <c r="AK7" s="37">
        <f t="shared" si="20"/>
        <v>0</v>
      </c>
      <c r="AL7" s="36">
        <v>24</v>
      </c>
      <c r="AM7" s="36">
        <v>75</v>
      </c>
      <c r="AN7" s="37">
        <v>10.92</v>
      </c>
      <c r="AO7" s="37">
        <f t="shared" si="21"/>
        <v>262.08</v>
      </c>
      <c r="AP7" s="76">
        <v>2.25</v>
      </c>
      <c r="AQ7" s="37">
        <f t="shared" si="22"/>
        <v>54</v>
      </c>
      <c r="AR7" s="37">
        <f t="shared" si="23"/>
        <v>1800</v>
      </c>
      <c r="AS7" s="36">
        <v>32</v>
      </c>
      <c r="AT7" s="36">
        <v>75</v>
      </c>
      <c r="AU7" s="37">
        <v>10.92</v>
      </c>
      <c r="AV7" s="37">
        <f t="shared" si="24"/>
        <v>349.44</v>
      </c>
      <c r="AW7" s="76">
        <v>2.25</v>
      </c>
      <c r="AX7" s="37">
        <f t="shared" si="25"/>
        <v>72</v>
      </c>
      <c r="AY7" s="37">
        <f t="shared" si="26"/>
        <v>2400</v>
      </c>
      <c r="AZ7" s="36">
        <v>40</v>
      </c>
      <c r="BA7" s="36">
        <v>69</v>
      </c>
      <c r="BB7" s="37">
        <v>13.72</v>
      </c>
      <c r="BC7" s="37">
        <f t="shared" si="27"/>
        <v>548.80000000000007</v>
      </c>
      <c r="BD7" s="76">
        <v>3.02</v>
      </c>
      <c r="BE7" s="37">
        <f t="shared" ref="BE7:BE8" si="29">BD7*AZ7</f>
        <v>120.8</v>
      </c>
      <c r="BF7" s="37">
        <f t="shared" si="28"/>
        <v>2760</v>
      </c>
      <c r="BG7" s="37">
        <f t="shared" si="6"/>
        <v>339.8</v>
      </c>
      <c r="BH7" s="100">
        <f t="shared" si="6"/>
        <v>54.54</v>
      </c>
      <c r="BI7" s="37">
        <f t="shared" si="6"/>
        <v>1370.105</v>
      </c>
      <c r="BJ7" s="100">
        <f t="shared" si="7"/>
        <v>15.41</v>
      </c>
      <c r="BK7" s="37">
        <f t="shared" si="7"/>
        <v>403.48500000000001</v>
      </c>
      <c r="BL7" s="37">
        <f t="shared" si="7"/>
        <v>8513</v>
      </c>
    </row>
    <row r="8" spans="1:64" x14ac:dyDescent="0.2">
      <c r="A8" s="30">
        <v>45</v>
      </c>
      <c r="B8" s="36">
        <v>4.5</v>
      </c>
      <c r="C8" s="36">
        <v>90</v>
      </c>
      <c r="D8" s="37">
        <v>14.93</v>
      </c>
      <c r="E8" s="37">
        <f t="shared" si="8"/>
        <v>67.185000000000002</v>
      </c>
      <c r="F8" s="100">
        <v>1.29</v>
      </c>
      <c r="G8" s="100">
        <v>3.93</v>
      </c>
      <c r="H8" s="101">
        <f t="shared" si="0"/>
        <v>17.685000000000002</v>
      </c>
      <c r="I8" s="37">
        <f t="shared" si="1"/>
        <v>405</v>
      </c>
      <c r="J8" s="36">
        <f t="shared" si="2"/>
        <v>45</v>
      </c>
      <c r="K8" s="36">
        <v>22.4</v>
      </c>
      <c r="L8" s="100">
        <v>2.11</v>
      </c>
      <c r="M8" s="37">
        <f t="shared" si="9"/>
        <v>94.949999999999989</v>
      </c>
      <c r="N8" s="100">
        <v>2.02</v>
      </c>
      <c r="O8" s="101">
        <f t="shared" si="10"/>
        <v>90.9</v>
      </c>
      <c r="P8" s="37">
        <f t="shared" si="11"/>
        <v>1007.9999999999999</v>
      </c>
      <c r="Q8" s="36">
        <f t="shared" si="3"/>
        <v>45</v>
      </c>
      <c r="R8" s="36">
        <v>4.2</v>
      </c>
      <c r="S8" s="100">
        <v>0.97</v>
      </c>
      <c r="T8" s="37">
        <f t="shared" si="12"/>
        <v>43.65</v>
      </c>
      <c r="U8" s="100">
        <v>0.97</v>
      </c>
      <c r="V8" s="101">
        <f t="shared" si="13"/>
        <v>43.65</v>
      </c>
      <c r="W8" s="37">
        <f t="shared" si="14"/>
        <v>189</v>
      </c>
      <c r="X8" s="36">
        <f t="shared" si="4"/>
        <v>22.5</v>
      </c>
      <c r="Y8" s="36">
        <v>4.2</v>
      </c>
      <c r="Z8" s="100">
        <v>0.97</v>
      </c>
      <c r="AA8" s="37">
        <f t="shared" si="15"/>
        <v>21.824999999999999</v>
      </c>
      <c r="AB8" s="100">
        <v>0.97</v>
      </c>
      <c r="AC8" s="101">
        <f t="shared" si="16"/>
        <v>21.824999999999999</v>
      </c>
      <c r="AD8" s="37">
        <f t="shared" si="17"/>
        <v>94.5</v>
      </c>
      <c r="AE8" s="36">
        <v>0</v>
      </c>
      <c r="AF8" s="36">
        <v>0</v>
      </c>
      <c r="AG8" s="36">
        <v>0</v>
      </c>
      <c r="AH8" s="36">
        <f t="shared" si="18"/>
        <v>0</v>
      </c>
      <c r="AI8" s="36">
        <f t="shared" si="18"/>
        <v>0</v>
      </c>
      <c r="AJ8" s="36">
        <f t="shared" si="19"/>
        <v>0</v>
      </c>
      <c r="AK8" s="37">
        <f t="shared" si="20"/>
        <v>0</v>
      </c>
      <c r="AL8" s="36">
        <v>29</v>
      </c>
      <c r="AM8" s="36">
        <v>75</v>
      </c>
      <c r="AN8" s="37">
        <v>10.92</v>
      </c>
      <c r="AO8" s="37">
        <f t="shared" si="21"/>
        <v>316.68</v>
      </c>
      <c r="AP8" s="76">
        <v>2.25</v>
      </c>
      <c r="AQ8" s="37">
        <f t="shared" si="22"/>
        <v>65.25</v>
      </c>
      <c r="AR8" s="37">
        <f t="shared" si="23"/>
        <v>2175</v>
      </c>
      <c r="AS8" s="36">
        <v>37</v>
      </c>
      <c r="AT8" s="36">
        <v>75</v>
      </c>
      <c r="AU8" s="37">
        <v>10.92</v>
      </c>
      <c r="AV8" s="37">
        <f t="shared" si="24"/>
        <v>404.04</v>
      </c>
      <c r="AW8" s="76">
        <v>2.25</v>
      </c>
      <c r="AX8" s="37">
        <f t="shared" si="25"/>
        <v>83.25</v>
      </c>
      <c r="AY8" s="37">
        <f t="shared" si="26"/>
        <v>2775</v>
      </c>
      <c r="AZ8" s="36">
        <v>45</v>
      </c>
      <c r="BA8" s="36">
        <v>69</v>
      </c>
      <c r="BB8" s="37">
        <v>13.72</v>
      </c>
      <c r="BC8" s="37">
        <f t="shared" si="27"/>
        <v>617.4</v>
      </c>
      <c r="BD8" s="76">
        <v>3.02</v>
      </c>
      <c r="BE8" s="37">
        <f t="shared" si="29"/>
        <v>135.9</v>
      </c>
      <c r="BF8" s="37">
        <f t="shared" si="28"/>
        <v>3105</v>
      </c>
      <c r="BG8" s="37">
        <f t="shared" si="6"/>
        <v>339.8</v>
      </c>
      <c r="BH8" s="100">
        <f t="shared" si="6"/>
        <v>54.54</v>
      </c>
      <c r="BI8" s="37">
        <f t="shared" si="6"/>
        <v>1565.73</v>
      </c>
      <c r="BJ8" s="100">
        <f t="shared" si="7"/>
        <v>15.41</v>
      </c>
      <c r="BK8" s="37">
        <f t="shared" si="7"/>
        <v>458.46000000000004</v>
      </c>
      <c r="BL8" s="37">
        <f t="shared" si="7"/>
        <v>9751.5</v>
      </c>
    </row>
    <row r="9" spans="1:64" x14ac:dyDescent="0.2">
      <c r="A9" s="30">
        <v>50</v>
      </c>
      <c r="B9" s="36">
        <v>4.5</v>
      </c>
      <c r="C9" s="36">
        <v>90</v>
      </c>
      <c r="D9" s="37">
        <v>14.93</v>
      </c>
      <c r="E9" s="37">
        <f t="shared" si="8"/>
        <v>67.185000000000002</v>
      </c>
      <c r="F9" s="100">
        <v>1.29</v>
      </c>
      <c r="G9" s="100">
        <v>3.93</v>
      </c>
      <c r="H9" s="101">
        <f t="shared" si="0"/>
        <v>17.685000000000002</v>
      </c>
      <c r="I9" s="37">
        <f t="shared" si="1"/>
        <v>405</v>
      </c>
      <c r="J9" s="36">
        <f t="shared" si="2"/>
        <v>50</v>
      </c>
      <c r="K9" s="36">
        <v>22.4</v>
      </c>
      <c r="L9" s="100">
        <v>2.11</v>
      </c>
      <c r="M9" s="37">
        <f t="shared" si="9"/>
        <v>105.5</v>
      </c>
      <c r="N9" s="100">
        <v>2.02</v>
      </c>
      <c r="O9" s="101">
        <f t="shared" si="10"/>
        <v>101</v>
      </c>
      <c r="P9" s="37">
        <f t="shared" si="11"/>
        <v>1120</v>
      </c>
      <c r="Q9" s="36">
        <f t="shared" si="3"/>
        <v>50</v>
      </c>
      <c r="R9" s="36">
        <v>4.2</v>
      </c>
      <c r="S9" s="100">
        <v>0.97</v>
      </c>
      <c r="T9" s="37">
        <f t="shared" si="12"/>
        <v>48.5</v>
      </c>
      <c r="U9" s="100">
        <v>0.97</v>
      </c>
      <c r="V9" s="101">
        <f t="shared" si="13"/>
        <v>48.5</v>
      </c>
      <c r="W9" s="37">
        <f t="shared" si="14"/>
        <v>210</v>
      </c>
      <c r="X9" s="36">
        <f t="shared" si="4"/>
        <v>25</v>
      </c>
      <c r="Y9" s="36">
        <v>4.2</v>
      </c>
      <c r="Z9" s="100">
        <v>0.97</v>
      </c>
      <c r="AA9" s="37">
        <f t="shared" si="15"/>
        <v>24.25</v>
      </c>
      <c r="AB9" s="100">
        <v>0.97</v>
      </c>
      <c r="AC9" s="101">
        <f t="shared" si="16"/>
        <v>24.25</v>
      </c>
      <c r="AD9" s="37">
        <f t="shared" si="17"/>
        <v>105</v>
      </c>
      <c r="AE9" s="36">
        <v>0</v>
      </c>
      <c r="AF9" s="36">
        <v>0</v>
      </c>
      <c r="AG9" s="36">
        <v>0</v>
      </c>
      <c r="AH9" s="36">
        <f t="shared" ref="AH9" si="30">AG9*AE9</f>
        <v>0</v>
      </c>
      <c r="AI9" s="36">
        <f t="shared" ref="AI9" si="31">AH9*AF9</f>
        <v>0</v>
      </c>
      <c r="AJ9" s="36">
        <f t="shared" ref="AJ9" si="32">AI9*AE9</f>
        <v>0</v>
      </c>
      <c r="AK9" s="37">
        <f t="shared" ref="AK9" si="33">AF9*AE9</f>
        <v>0</v>
      </c>
      <c r="AL9" s="36">
        <v>34</v>
      </c>
      <c r="AM9" s="36">
        <v>75</v>
      </c>
      <c r="AN9" s="37">
        <v>10.92</v>
      </c>
      <c r="AO9" s="37">
        <f t="shared" si="21"/>
        <v>371.28</v>
      </c>
      <c r="AP9" s="76">
        <v>2.25</v>
      </c>
      <c r="AQ9" s="37">
        <f t="shared" si="22"/>
        <v>76.5</v>
      </c>
      <c r="AR9" s="37">
        <f t="shared" si="23"/>
        <v>2550</v>
      </c>
      <c r="AS9" s="36">
        <v>42</v>
      </c>
      <c r="AT9" s="36">
        <v>75</v>
      </c>
      <c r="AU9" s="37">
        <v>10.92</v>
      </c>
      <c r="AV9" s="37">
        <f t="shared" si="24"/>
        <v>458.64</v>
      </c>
      <c r="AW9" s="76">
        <v>2.25</v>
      </c>
      <c r="AX9" s="37">
        <f t="shared" si="25"/>
        <v>94.5</v>
      </c>
      <c r="AY9" s="37">
        <f t="shared" si="26"/>
        <v>3150</v>
      </c>
      <c r="AZ9" s="36">
        <v>50</v>
      </c>
      <c r="BA9" s="36">
        <v>69</v>
      </c>
      <c r="BB9" s="37">
        <v>13.72</v>
      </c>
      <c r="BC9" s="37">
        <f t="shared" si="27"/>
        <v>686</v>
      </c>
      <c r="BD9" s="76">
        <v>3.02</v>
      </c>
      <c r="BE9" s="37">
        <f>BD9*AZ9</f>
        <v>151</v>
      </c>
      <c r="BF9" s="37">
        <f t="shared" si="28"/>
        <v>3450</v>
      </c>
      <c r="BG9" s="37">
        <f>SUM(C9,K9,R9,Y9,AF9,AM9,AT9,BA9)+IF('Mast Arm 2 Design'!D8=0,75,0)</f>
        <v>414.8</v>
      </c>
      <c r="BH9" s="100">
        <f>SUM(D9,L9,S9,Z9,AG9,AN9,AU9,BB9)+IF('Mast Arm 2 Design'!D8=0,10.92,0)</f>
        <v>65.459999999999994</v>
      </c>
      <c r="BI9" s="37">
        <f>SUM(E9,M9,T9,AA9,AH9,AO9,AV9,BC9)+26*IF('Mast Arm 2 Design'!D8=0,10.92,0)</f>
        <v>2045.2750000000001</v>
      </c>
      <c r="BJ9" s="100">
        <f>SUM(G9,N9,U9,AB9,AI9,AP9,AW9,BD9)+IF('Mast Arm 2 Design'!D8=0,2.25,0)</f>
        <v>17.66</v>
      </c>
      <c r="BK9" s="37">
        <f>SUM(H9,O9,V9,AC9,AJ9,AQ9,AX9,BE9)+26*IF('Mast Arm 2 Design'!D8=0,2.25,0)</f>
        <v>571.93499999999995</v>
      </c>
      <c r="BL9" s="37">
        <f>SUM(I9,P9,W9,AD9,AK9,AR9,AY9,BF9)+26*IF('Mast Arm 2 Design'!D8=0,75,0)</f>
        <v>12940</v>
      </c>
    </row>
  </sheetData>
  <sheetProtection selectLockedCells="1" selectUnlockedCells="1"/>
  <mergeCells count="9">
    <mergeCell ref="BG1:BL1"/>
    <mergeCell ref="B1:I1"/>
    <mergeCell ref="AE1:AK1"/>
    <mergeCell ref="AL1:AR1"/>
    <mergeCell ref="AS1:AY1"/>
    <mergeCell ref="AZ1:BF1"/>
    <mergeCell ref="J1:P1"/>
    <mergeCell ref="Q1:W1"/>
    <mergeCell ref="X1:AD1"/>
  </mergeCells>
  <pageMargins left="0.75" right="0.75" top="1" bottom="1" header="0.51180555555555551" footer="0.51180555555555551"/>
  <pageSetup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CFEC40BDD30E408D9F0580534E1874" ma:contentTypeVersion="4" ma:contentTypeDescription="Create a new document." ma:contentTypeScope="" ma:versionID="489826ce07c7b6c9ebfd2f0dc3cf926d">
  <xsd:schema xmlns:xsd="http://www.w3.org/2001/XMLSchema" xmlns:xs="http://www.w3.org/2001/XMLSchema" xmlns:p="http://schemas.microsoft.com/office/2006/metadata/properties" xmlns:ns3="dbbf4f18-ca30-43c5-8369-a8b9e3990646" targetNamespace="http://schemas.microsoft.com/office/2006/metadata/properties" ma:root="true" ma:fieldsID="85a0bf3bab63853fe9ba85e878c7eaf1" ns3:_="">
    <xsd:import namespace="dbbf4f18-ca30-43c5-8369-a8b9e399064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bf4f18-ca30-43c5-8369-a8b9e39906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01E32B-CF47-4781-A012-122EC7ECB01E}">
  <ds:schemaRefs>
    <ds:schemaRef ds:uri="http://schemas.microsoft.com/sharepoint/v3/contenttype/forms"/>
  </ds:schemaRefs>
</ds:datastoreItem>
</file>

<file path=customXml/itemProps2.xml><?xml version="1.0" encoding="utf-8"?>
<ds:datastoreItem xmlns:ds="http://schemas.openxmlformats.org/officeDocument/2006/customXml" ds:itemID="{9A1013CB-CDA6-40E2-A300-9F03CFE78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bf4f18-ca30-43c5-8369-a8b9e39906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B98F3A-CD67-413C-8BE2-DDBBB117E33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bbf4f18-ca30-43c5-8369-a8b9e399064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58</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Preamble</vt:lpstr>
      <vt:lpstr>Change Log</vt:lpstr>
      <vt:lpstr>Instructions</vt:lpstr>
      <vt:lpstr>Mast Arm 1 Design</vt:lpstr>
      <vt:lpstr>Mast Arm 2 Design</vt:lpstr>
      <vt:lpstr>Mast Arm Pole Design</vt:lpstr>
      <vt:lpstr>Results</vt:lpstr>
      <vt:lpstr>Mast Arm Geometry Tables</vt:lpstr>
      <vt:lpstr>Mast Arm Load Table</vt:lpstr>
      <vt:lpstr>Mast Arm Capacity</vt:lpstr>
      <vt:lpstr>Pole Load Table</vt:lpstr>
      <vt:lpstr>Mast Arm Pole Capacities</vt:lpstr>
      <vt:lpstr>Graph Values</vt:lpstr>
      <vt:lpstr>Equipment Wt &amp; Ht</vt:lpstr>
      <vt:lpstr>Excel_BuiltIn__FilterDatabase</vt:lpstr>
      <vt:lpstr>Heads</vt:lpstr>
      <vt:lpstr>'Change Log'!Print_Area</vt:lpstr>
      <vt:lpstr>Instructions!Print_Area</vt:lpstr>
      <vt:lpstr>'Mast Arm 1 Design'!Print_Area</vt:lpstr>
      <vt:lpstr>'Mast Arm 2 Design'!Print_Area</vt:lpstr>
      <vt:lpstr>'Mast Arm Pole Design'!Print_Area</vt:lpstr>
      <vt:lpstr>Preamble!Print_Area</vt:lpstr>
      <vt:lpstr>Results!Print_Area</vt:lpstr>
      <vt:lpstr>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Span Calculation Work Sheet</dc:title>
  <dc:subject>Span Calculation Work Sheet</dc:subject>
  <dc:creator>Michael Scheuer &amp;  Revised by John Engle</dc:creator>
  <cp:keywords>span calculation signal sigspan</cp:keywords>
  <cp:lastModifiedBy>estone.Checker</cp:lastModifiedBy>
  <cp:revision>8</cp:revision>
  <cp:lastPrinted>2023-03-19T18:53:11Z</cp:lastPrinted>
  <dcterms:created xsi:type="dcterms:W3CDTF">2005-04-02T18:41:21Z</dcterms:created>
  <dcterms:modified xsi:type="dcterms:W3CDTF">2023-03-20T12:07:44Z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0x010100EBCFEC40BDD30E408D9F0580534E1874</vt:lpwstr>
  </property>
</Properties>
</file>